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Z:\Dokumente extern\Neuer Ordner\Türkis\"/>
    </mc:Choice>
  </mc:AlternateContent>
  <xr:revisionPtr revIDLastSave="0" documentId="8_{B78A1BDD-049C-459F-91BB-01F99B28D75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574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8" i="5" l="1"/>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V8" i="5"/>
  <c r="R8" i="5" s="1"/>
  <c r="X8" i="5"/>
  <c r="V9" i="5"/>
  <c r="X9" i="5"/>
  <c r="V10" i="5"/>
  <c r="X10" i="5"/>
  <c r="V11" i="5"/>
  <c r="X11" i="5"/>
  <c r="V12" i="5"/>
  <c r="X12" i="5"/>
  <c r="V13" i="5"/>
  <c r="X13" i="5"/>
  <c r="V14" i="5"/>
  <c r="X14" i="5"/>
  <c r="V15" i="5"/>
  <c r="R15" i="5" s="1"/>
  <c r="X15" i="5"/>
  <c r="V16" i="5"/>
  <c r="R16" i="5" s="1"/>
  <c r="X16" i="5"/>
  <c r="V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s="1"/>
  <c r="B54" i="6"/>
  <c r="G54" i="6" s="1"/>
  <c r="B17" i="6"/>
  <c r="F27" i="6" s="1"/>
  <c r="B16" i="6"/>
  <c r="B21" i="6" s="1"/>
  <c r="B15" i="6"/>
  <c r="B14" i="6"/>
  <c r="G14" i="6" s="1"/>
  <c r="H14" i="6" s="1"/>
  <c r="H13" i="6"/>
  <c r="B12" i="6"/>
  <c r="G12" i="6" s="1"/>
  <c r="H12" i="6" s="1"/>
  <c r="D12" i="6" s="1"/>
  <c r="B11" i="6"/>
  <c r="G11" i="6" s="1"/>
  <c r="H11" i="6" s="1"/>
  <c r="D11" i="6" s="1"/>
  <c r="B8" i="6"/>
  <c r="G8" i="6"/>
  <c r="H8" i="6"/>
  <c r="D8" i="6" s="1"/>
  <c r="B7" i="6"/>
  <c r="G7" i="6"/>
  <c r="H7" i="6" s="1"/>
  <c r="D7" i="6" s="1"/>
  <c r="B6" i="6"/>
  <c r="G6" i="6"/>
  <c r="B5"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P45" i="4"/>
  <c r="P44" i="4"/>
  <c r="B44" i="4" s="1"/>
  <c r="A29" i="6" s="1"/>
  <c r="P43" i="4"/>
  <c r="Q43" i="4" s="1"/>
  <c r="P41" i="4"/>
  <c r="P40" i="4"/>
  <c r="P39" i="4"/>
  <c r="B39" i="4" s="1"/>
  <c r="A25" i="6" s="1"/>
  <c r="P38" i="4"/>
  <c r="B38" i="4" s="1"/>
  <c r="A24" i="6" s="1"/>
  <c r="P37" i="4"/>
  <c r="Q37" i="4" s="1"/>
  <c r="P35" i="4"/>
  <c r="P34" i="4"/>
  <c r="P33" i="4"/>
  <c r="P32" i="4"/>
  <c r="P31" i="4"/>
  <c r="Q31" i="4"/>
  <c r="P29" i="4"/>
  <c r="B29" i="4" s="1"/>
  <c r="B35" i="4" s="1"/>
  <c r="A22" i="6" s="1"/>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51" i="6"/>
  <c r="G51" i="6" s="1"/>
  <c r="B19" i="6"/>
  <c r="A38" i="2"/>
  <c r="J4" i="5"/>
  <c r="B41" i="4"/>
  <c r="B71" i="4" s="1"/>
  <c r="A5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s="1"/>
  <c r="B40" i="6"/>
  <c r="G40" i="6" s="1"/>
  <c r="B50" i="6"/>
  <c r="G50" i="6" s="1"/>
  <c r="B25" i="6"/>
  <c r="G25" i="6" s="1"/>
  <c r="B35" i="6"/>
  <c r="G35" i="6" s="1"/>
  <c r="B39" i="6"/>
  <c r="G39" i="6"/>
  <c r="H39" i="6" s="1"/>
  <c r="D39" i="6" s="1"/>
  <c r="F24" i="6"/>
  <c r="B44" i="6"/>
  <c r="G44" i="6" s="1"/>
  <c r="G32" i="6"/>
  <c r="B49" i="6"/>
  <c r="G49" i="6" s="1"/>
  <c r="H49" i="6" s="1"/>
  <c r="D49" i="6" s="1"/>
  <c r="B34" i="6"/>
  <c r="G34" i="6"/>
  <c r="B29" i="6"/>
  <c r="G29" i="6"/>
  <c r="B24" i="6"/>
  <c r="G24" i="6"/>
  <c r="H24" i="6" s="1"/>
  <c r="D24" i="6" s="1"/>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1" i="6"/>
  <c r="G20" i="6"/>
  <c r="H20" i="6" s="1"/>
  <c r="D20" i="6" s="1"/>
  <c r="B45" i="6"/>
  <c r="G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F65" i="6"/>
  <c r="B2" i="6" s="1"/>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0" i="5"/>
  <c r="R13" i="5"/>
  <c r="R7" i="5"/>
  <c r="R12" i="5"/>
  <c r="R9" i="5"/>
  <c r="R11" i="5"/>
  <c r="R14" i="5"/>
  <c r="S10" i="5"/>
  <c r="S12" i="5"/>
  <c r="S11" i="5"/>
  <c r="G64" i="6" a="1"/>
  <c r="S17" i="5"/>
  <c r="S5" i="5"/>
  <c r="S13" i="5"/>
  <c r="S9" i="5"/>
  <c r="S8" i="5"/>
  <c r="S16" i="5"/>
  <c r="S6" i="5"/>
  <c r="S14" i="5"/>
  <c r="S7" i="5"/>
  <c r="S15" i="5"/>
  <c r="X17" i="5" l="1"/>
  <c r="G68" i="6"/>
  <c r="R17" i="5"/>
  <c r="G67" i="6"/>
  <c r="G66" i="6"/>
  <c r="G65" i="6"/>
  <c r="D74" i="4"/>
  <c r="B34" i="4"/>
  <c r="A21" i="6" s="1"/>
  <c r="B83" i="4"/>
  <c r="A59" i="6" s="1"/>
  <c r="B55" i="4"/>
  <c r="A38" i="6" s="1"/>
  <c r="B89" i="4"/>
  <c r="A63" i="6" s="1"/>
  <c r="B81" i="4"/>
  <c r="A58" i="6" s="1"/>
  <c r="F52" i="6"/>
  <c r="H52" i="6" s="1"/>
  <c r="D52" i="6" s="1"/>
  <c r="F42" i="6"/>
  <c r="H42" i="6" s="1"/>
  <c r="D42" i="6" s="1"/>
  <c r="F47" i="6"/>
  <c r="H47" i="6" s="1"/>
  <c r="D47" i="6" s="1"/>
  <c r="F37" i="6"/>
  <c r="H37" i="6" s="1"/>
  <c r="D37" i="6" s="1"/>
  <c r="H27" i="6"/>
  <c r="D27" i="6" s="1"/>
  <c r="F68" i="6"/>
  <c r="F32" i="6"/>
  <c r="H32" i="6" s="1"/>
  <c r="D32" i="6" s="1"/>
  <c r="C17" i="6"/>
  <c r="C22" i="6"/>
  <c r="K68" i="6"/>
  <c r="C47" i="6"/>
  <c r="C42" i="6"/>
  <c r="C32" i="6"/>
  <c r="C52" i="6"/>
  <c r="B41" i="6"/>
  <c r="G41" i="6" s="1"/>
  <c r="F26" i="6"/>
  <c r="B36" i="6"/>
  <c r="G36" i="6" s="1"/>
  <c r="H21" i="6"/>
  <c r="D21" i="6" s="1"/>
  <c r="G69" i="6" a="1"/>
  <c r="G69" i="6" s="1"/>
  <c r="H69" i="6" s="1"/>
  <c r="X7" i="5"/>
  <c r="C16" i="6"/>
  <c r="G16" i="6"/>
  <c r="H16" i="6" s="1"/>
  <c r="B46" i="6"/>
  <c r="G46" i="6" s="1"/>
  <c r="B31" i="6"/>
  <c r="G31" i="6" s="1"/>
  <c r="C21" i="6"/>
  <c r="D15" i="6"/>
  <c r="K66" i="6"/>
  <c r="F45" i="6"/>
  <c r="H45" i="6" s="1"/>
  <c r="H25" i="6"/>
  <c r="D25" i="6" s="1"/>
  <c r="F35" i="6"/>
  <c r="H35" i="6" s="1"/>
  <c r="D35" i="6" s="1"/>
  <c r="F40" i="6"/>
  <c r="H40" i="6" s="1"/>
  <c r="D40" i="6" s="1"/>
  <c r="F50" i="6"/>
  <c r="H50" i="6" s="1"/>
  <c r="D50" i="6" s="1"/>
  <c r="F66" i="6"/>
  <c r="F54" i="6"/>
  <c r="F60" i="6" s="1"/>
  <c r="H60" i="6" s="1"/>
  <c r="F30" i="6"/>
  <c r="H30" i="6" s="1"/>
  <c r="D30" i="6" s="1"/>
  <c r="C20" i="6"/>
  <c r="C15" i="6"/>
  <c r="D67" i="4"/>
  <c r="D14" i="6"/>
  <c r="K65" i="6"/>
  <c r="B37" i="4"/>
  <c r="A23" i="6" s="1"/>
  <c r="C44" i="6"/>
  <c r="H65" i="6"/>
  <c r="D65" i="6" s="1"/>
  <c r="B67" i="4"/>
  <c r="A48" i="6" s="1"/>
  <c r="B85" i="4"/>
  <c r="A60" i="6" s="1"/>
  <c r="B75" i="4"/>
  <c r="A54" i="6" s="1"/>
  <c r="C19" i="6"/>
  <c r="B87" i="4"/>
  <c r="A62" i="6" s="1"/>
  <c r="B31" i="4"/>
  <c r="A18" i="6" s="1"/>
  <c r="C24" i="6"/>
  <c r="B49" i="4"/>
  <c r="A33" i="6" s="1"/>
  <c r="B61" i="4"/>
  <c r="A43" i="6" s="1"/>
  <c r="C39" i="6"/>
  <c r="B79" i="4"/>
  <c r="A57" i="6" s="1"/>
  <c r="C34" i="6"/>
  <c r="C49" i="6"/>
  <c r="B77" i="4"/>
  <c r="A55" i="6" s="1"/>
  <c r="B43" i="4"/>
  <c r="A28" i="6" s="1"/>
  <c r="C14" i="6"/>
  <c r="C29" i="6"/>
  <c r="C12" i="6"/>
  <c r="B63" i="4"/>
  <c r="A45" i="6" s="1"/>
  <c r="C9" i="6"/>
  <c r="D37" i="4"/>
  <c r="D55" i="4"/>
  <c r="C10" i="6"/>
  <c r="D31" i="4"/>
  <c r="D49" i="4"/>
  <c r="D43" i="4"/>
  <c r="C11" i="6"/>
  <c r="A17" i="6"/>
  <c r="B56" i="4"/>
  <c r="A39" i="6" s="1"/>
  <c r="A26" i="6"/>
  <c r="B64" i="4"/>
  <c r="A46" i="6" s="1"/>
  <c r="B58" i="4"/>
  <c r="A41" i="6" s="1"/>
  <c r="G31" i="4"/>
  <c r="B70" i="4"/>
  <c r="A51" i="6" s="1"/>
  <c r="C8" i="6"/>
  <c r="G49" i="4"/>
  <c r="A27" i="6"/>
  <c r="G74" i="4"/>
  <c r="B50" i="4"/>
  <c r="A34" i="6" s="1"/>
  <c r="B62" i="4"/>
  <c r="A44" i="6" s="1"/>
  <c r="B68" i="4"/>
  <c r="A49" i="6" s="1"/>
  <c r="B65" i="4"/>
  <c r="A47" i="6" s="1"/>
  <c r="C7" i="6"/>
  <c r="F64" i="6"/>
  <c r="G5" i="6"/>
  <c r="H5" i="6" s="1"/>
  <c r="F6" i="6"/>
  <c r="H6" i="6" s="1"/>
  <c r="B51" i="4"/>
  <c r="A35" i="6" s="1"/>
  <c r="B69" i="4"/>
  <c r="A50" i="6" s="1"/>
  <c r="B57" i="4"/>
  <c r="A40" i="6" s="1"/>
  <c r="A15" i="6"/>
  <c r="G37" i="4"/>
  <c r="G61" i="4"/>
  <c r="G55" i="4"/>
  <c r="B53" i="4"/>
  <c r="A37" i="6" s="1"/>
  <c r="C4" i="6"/>
  <c r="B59" i="4"/>
  <c r="A42" i="6" s="1"/>
  <c r="G67" i="4"/>
  <c r="G64" i="6"/>
  <c r="A14" i="6"/>
  <c r="T6" i="5"/>
  <c r="T8" i="5"/>
  <c r="T14" i="5"/>
  <c r="T5" i="5"/>
  <c r="T7" i="5"/>
  <c r="T11" i="5"/>
  <c r="T17" i="5"/>
  <c r="T16" i="5"/>
  <c r="T10" i="5"/>
  <c r="T15" i="5"/>
  <c r="T13" i="5"/>
  <c r="T9" i="5"/>
  <c r="T12" i="5"/>
  <c r="H66" i="6" l="1"/>
  <c r="D66" i="6" s="1"/>
  <c r="H68" i="6"/>
  <c r="C65" i="6"/>
  <c r="C50" i="6"/>
  <c r="H54" i="6"/>
  <c r="D54" i="6" s="1"/>
  <c r="F55" i="6"/>
  <c r="F56" i="6" s="1"/>
  <c r="H56" i="6" s="1"/>
  <c r="F57" i="6"/>
  <c r="H57" i="6" s="1"/>
  <c r="D57" i="6" s="1"/>
  <c r="C27" i="6"/>
  <c r="C37" i="6"/>
  <c r="D16" i="6"/>
  <c r="K67" i="6"/>
  <c r="F46" i="6"/>
  <c r="H46" i="6" s="1"/>
  <c r="H26" i="6"/>
  <c r="F31" i="6"/>
  <c r="H31" i="6" s="1"/>
  <c r="F67" i="6"/>
  <c r="H67" i="6" s="1"/>
  <c r="F41" i="6"/>
  <c r="H41" i="6" s="1"/>
  <c r="F36" i="6"/>
  <c r="H36" i="6" s="1"/>
  <c r="F51" i="6"/>
  <c r="H51" i="6" s="1"/>
  <c r="D60" i="6"/>
  <c r="C60" i="6"/>
  <c r="C35" i="6"/>
  <c r="C25" i="6"/>
  <c r="C40" i="6"/>
  <c r="C45" i="6"/>
  <c r="D45" i="6"/>
  <c r="C66" i="6"/>
  <c r="C30" i="6"/>
  <c r="F58" i="6"/>
  <c r="H58" i="6" s="1"/>
  <c r="F62" i="6"/>
  <c r="H62" i="6" s="1"/>
  <c r="F63" i="6"/>
  <c r="H63" i="6" s="1"/>
  <c r="F59" i="6"/>
  <c r="H59" i="6" s="1"/>
  <c r="D6" i="6"/>
  <c r="C6" i="6"/>
  <c r="C5" i="6"/>
  <c r="D5" i="6"/>
  <c r="B64" i="6"/>
  <c r="H64" i="6"/>
  <c r="D68" i="6" l="1"/>
  <c r="C68" i="6"/>
  <c r="C57" i="6"/>
  <c r="C54" i="6"/>
  <c r="H55" i="6"/>
  <c r="C55" i="6" s="1"/>
  <c r="D36" i="6"/>
  <c r="C36" i="6"/>
  <c r="D41" i="6"/>
  <c r="C41" i="6"/>
  <c r="D67" i="6"/>
  <c r="C67" i="6"/>
  <c r="D51" i="6"/>
  <c r="C51" i="6"/>
  <c r="D31" i="6"/>
  <c r="C31" i="6"/>
  <c r="D46" i="6"/>
  <c r="C46" i="6"/>
  <c r="D26" i="6"/>
  <c r="C26" i="6"/>
  <c r="D63" i="6"/>
  <c r="C63" i="6"/>
  <c r="D62" i="6"/>
  <c r="C62" i="6"/>
  <c r="D58" i="6"/>
  <c r="C58" i="6"/>
  <c r="D59" i="6"/>
  <c r="C59" i="6"/>
  <c r="D56" i="6"/>
  <c r="C56" i="6"/>
  <c r="C64" i="6"/>
  <c r="H70" i="6"/>
  <c r="D2" i="6" s="1"/>
  <c r="D64" i="6"/>
  <c r="D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<sst xmlns="http://schemas.openxmlformats.org/spreadsheetml/2006/main" count="22423" uniqueCount="15801">
  <si>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</si>
  <si>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</si>
  <si>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</si>
  <si>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</si>
  <si>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</si>
  <si>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</si>
  <si>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</si>
  <si>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</si>
  <si>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</si>
  <si>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</si>
  <si>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</si>
  <si>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</si>
  <si>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</si>
  <si>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</si>
  <si>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</si>
  <si>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</si>
  <si>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</si>
  <si>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</si>
  <si>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</si>
  <si>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</si>
  <si>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</si>
  <si>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</si>
  <si>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</si>
  <si>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</si>
  <si>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</si>
  <si>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</si>
  <si>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</si>
  <si>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</si>
  <si>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</si>
  <si>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</si>
  <si>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</si>
  <si>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</si>
  <si>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</si>
  <si>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</si>
  <si>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</si>
  <si>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</si>
  <si>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</si>
  <si>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</si>
  <si>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</si>
  <si>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</si>
  <si>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</si>
  <si>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</si>
  <si>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</si>
  <si>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</si>
  <si>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</si>
  <si>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</si>
  <si>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</si>
  <si>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</si>
  <si>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</si>
  <si>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</si>
  <si>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</si>
  <si>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</si>
  <si>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</si>
  <si>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</si>
  <si>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</si>
  <si>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</si>
  <si>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</si>
  <si>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</si>
  <si>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</si>
  <si>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</si>
  <si>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</si>
  <si>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</si>
  <si>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</si>
  <si>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</si>
  <si>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</si>
  <si>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</si>
  <si>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</si>
  <si>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</si>
  <si>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</si>
  <si>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</si>
  <si>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</si>
  <si>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</si>
  <si>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</si>
  <si>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</si>
  <si>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</si>
  <si>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</si>
  <si>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</si>
  <si>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</si>
  <si>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</si>
  <si>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</si>
  <si>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</si>
  <si>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</si>
  <si>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</si>
  <si>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</si>
  <si>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</si>
  <si>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</si>
  <si>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</si>
  <si>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</si>
  <si>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</si>
  <si>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</si>
  <si>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</si>
  <si>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</si>
  <si>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</si>
  <si>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</si>
  <si>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</si>
  <si>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</si>
  <si>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</si>
  <si>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</si>
  <si>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</si>
  <si>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</si>
  <si>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</si>
  <si>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</si>
  <si>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</si>
  <si>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</si>
  <si>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</si>
  <si>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</si>
  <si>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</si>
  <si>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</si>
  <si>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</si>
  <si>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</si>
  <si>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</si>
  <si>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</si>
  <si>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</si>
  <si>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</si>
  <si>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</si>
  <si>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</si>
  <si>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</si>
  <si>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</si>
  <si>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</si>
  <si>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</si>
  <si>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</si>
  <si>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</si>
  <si>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</si>
  <si>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</si>
  <si>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</si>
  <si>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</si>
  <si>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</si>
  <si>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</si>
  <si>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</si>
  <si>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</si>
  <si>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</si>
  <si>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</si>
  <si>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</si>
  <si>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</si>
  <si>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</si>
  <si>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</si>
  <si>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</si>
  <si>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</si>
  <si>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</si>
  <si>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</si>
  <si>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</si>
  <si>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</si>
  <si>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</si>
  <si>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</si>
  <si>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</si>
  <si>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</si>
  <si>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</si>
  <si>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</si>
  <si>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</si>
  <si>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</si>
  <si>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</si>
  <si>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</si>
  <si>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</si>
  <si>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</si>
  <si>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</si>
  <si>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</si>
  <si>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</si>
  <si>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</si>
  <si>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</si>
  <si>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</si>
  <si>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</si>
  <si>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</si>
  <si>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</si>
  <si>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</si>
  <si>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</si>
  <si>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</si>
  <si>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</si>
  <si>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</si>
  <si>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</si>
  <si>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</si>
  <si>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</si>
  <si>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</si>
  <si>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</si>
  <si>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</si>
  <si>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</si>
  <si>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</si>
  <si>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</si>
  <si>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</si>
  <si>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</si>
  <si>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</si>
  <si>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</si>
  <si>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</si>
  <si>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</si>
  <si>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</si>
  <si>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</si>
  <si>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</si>
  <si>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</si>
  <si>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</si>
  <si>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</si>
  <si>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</si>
  <si>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</si>
  <si>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</si>
  <si>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</si>
  <si>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</si>
  <si>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</si>
  <si>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</si>
  <si>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</si>
  <si>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</si>
  <si>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</si>
  <si>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</si>
  <si>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</si>
  <si>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</si>
  <si>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</si>
  <si>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</si>
  <si>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</si>
  <si>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</si>
  <si>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</si>
  <si>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</si>
  <si>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</si>
  <si>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</si>
  <si>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</si>
  <si>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</si>
  <si>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</si>
  <si>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</si>
  <si>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</si>
  <si>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</si>
  <si>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</si>
  <si>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</si>
  <si>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</si>
  <si>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</si>
  <si>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</si>
  <si>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</si>
  <si>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</si>
  <si>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</si>
  <si>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</si>
  <si>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</si>
  <si>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</si>
  <si>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</si>
  <si>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</si>
  <si>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</si>
  <si>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</si>
  <si>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</si>
  <si>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</si>
  <si>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</si>
  <si>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</si>
  <si>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</si>
  <si>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</si>
  <si>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</si>
  <si>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</si>
  <si>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</si>
  <si>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</si>
  <si>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</si>
  <si>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</si>
  <si>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</si>
  <si>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</si>
  <si>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</si>
  <si>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</si>
  <si>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</si>
  <si>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</si>
  <si>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</si>
  <si>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</si>
  <si>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</si>
  <si>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</si>
  <si>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</si>
  <si>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</si>
  <si>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</si>
  <si>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</si>
  <si>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</si>
  <si>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</si>
  <si>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</si>
  <si>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</si>
  <si>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</si>
  <si>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</si>
  <si>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</si>
  <si>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</si>
  <si>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</si>
  <si>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</si>
  <si>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</si>
  <si>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</si>
  <si>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</si>
  <si>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</si>
  <si>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</si>
  <si>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</si>
  <si>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</si>
  <si>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</si>
  <si>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</si>
  <si>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</si>
  <si>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</si>
  <si>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</si>
  <si>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</si>
  <si>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</si>
  <si>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</si>
  <si>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</si>
  <si>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</si>
  <si>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</si>
  <si>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</si>
  <si>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</si>
  <si>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</si>
  <si>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</si>
  <si>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</si>
  <si>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</si>
  <si>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</si>
  <si>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</si>
  <si>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</si>
  <si>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</si>
  <si>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</si>
  <si>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</si>
  <si>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</si>
  <si>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</si>
  <si>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</si>
  <si>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</si>
  <si>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</si>
  <si>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</si>
  <si>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</si>
  <si>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</si>
  <si>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</si>
  <si>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</si>
  <si>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</si>
  <si>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</si>
  <si>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</si>
  <si>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</si>
  <si>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</si>
  <si>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</si>
  <si>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</si>
  <si>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</si>
  <si>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</si>
  <si>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</si>
  <si>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</si>
  <si>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</si>
  <si>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</si>
  <si>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</si>
  <si>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</si>
  <si>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</si>
  <si>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</si>
  <si>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</si>
  <si>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</si>
  <si>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</si>
  <si>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</si>
  <si>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</si>
  <si>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</si>
  <si>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</si>
  <si>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</si>
  <si>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</si>
  <si>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</si>
  <si>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</si>
  <si>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</si>
  <si>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</si>
  <si>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</si>
  <si>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</si>
  <si>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</si>
  <si>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</si>
  <si>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</si>
  <si>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</si>
  <si>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</si>
  <si>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</si>
  <si>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</si>
  <si>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</si>
  <si>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</si>
  <si>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</si>
  <si>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</si>
  <si>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</si>
  <si>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</si>
  <si>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</si>
  <si>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</si>
  <si>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</si>
  <si>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</si>
  <si>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</si>
  <si>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</si>
  <si>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</si>
  <si>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</si>
  <si>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</si>
  <si>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</si>
  <si>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</si>
  <si>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</si>
  <si>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</si>
  <si>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</si>
  <si>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</si>
  <si>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</si>
  <si>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</si>
  <si>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</si>
  <si>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</si>
  <si>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</si>
  <si>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</si>
  <si>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</si>
  <si>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</si>
  <si>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</si>
  <si>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</si>
  <si>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</si>
  <si>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</si>
  <si>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</si>
  <si>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</si>
  <si>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</si>
  <si>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</si>
  <si>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</si>
  <si>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</si>
  <si>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</si>
  <si>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</si>
  <si>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</si>
  <si>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</si>
  <si>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</si>
  <si>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</si>
  <si>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</si>
  <si>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</si>
  <si>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</si>
  <si>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</si>
  <si>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</si>
  <si>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</si>
  <si>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</si>
  <si>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</si>
  <si>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</si>
  <si>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</si>
  <si>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</si>
  <si>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</si>
  <si>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</si>
  <si>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</si>
  <si>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</si>
  <si>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</si>
  <si>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</si>
  <si>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</si>
  <si>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</si>
  <si>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</si>
  <si>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</si>
  <si>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</si>
  <si>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</si>
  <si>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</si>
  <si>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</si>
  <si>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</si>
  <si>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</si>
  <si>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</si>
  <si>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</si>
  <si>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</si>
  <si>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</si>
  <si>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</si>
  <si>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</si>
  <si>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</si>
  <si>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</si>
  <si>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</si>
  <si>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</si>
  <si>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</si>
  <si>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</si>
  <si>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</si>
  <si>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</si>
  <si>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</si>
  <si>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</si>
  <si>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</si>
  <si>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</si>
  <si>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</si>
  <si>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</si>
  <si>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</si>
  <si>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</si>
  <si>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</si>
  <si>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</si>
  <si>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</si>
  <si>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</si>
  <si>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</si>
  <si>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</si>
  <si>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</si>
  <si>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</si>
  <si>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</si>
  <si>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</si>
  <si>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</si>
  <si>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</si>
  <si>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</si>
  <si>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</si>
  <si>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</si>
  <si>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</si>
  <si>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</si>
  <si>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</si>
  <si>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</si>
  <si>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</si>
  <si>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</si>
  <si>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</si>
  <si>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</si>
  <si>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</si>
  <si>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</si>
  <si>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</si>
  <si>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</si>
  <si>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</si>
  <si>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</si>
  <si>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</si>
  <si>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</si>
  <si>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</si>
  <si>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</si>
  <si>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</si>
  <si>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</si>
  <si>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</si>
  <si>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</si>
  <si>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</si>
  <si>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</si>
  <si>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</si>
  <si>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</si>
  <si>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</si>
  <si>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</si>
  <si>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</si>
  <si>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</si>
  <si>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</si>
  <si>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</si>
  <si>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</si>
  <si>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</si>
  <si>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</si>
  <si>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</si>
  <si>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</si>
  <si>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</si>
  <si>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</si>
  <si>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</si>
  <si>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</si>
  <si>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</si>
  <si>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</si>
  <si>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</si>
  <si>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</si>
  <si>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</si>
  <si>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</si>
  <si>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</si>
  <si>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</si>
  <si>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</si>
  <si>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</si>
  <si>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</si>
  <si>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</si>
  <si>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</si>
  <si>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</si>
  <si>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</si>
  <si>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</si>
  <si>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</si>
  <si>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</si>
  <si>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</si>
  <si>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</si>
  <si>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</si>
  <si>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</si>
  <si>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</si>
  <si>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</si>
  <si>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</si>
  <si>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</si>
  <si>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</si>
  <si>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</si>
  <si>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</si>
  <si>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</si>
  <si>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</si>
  <si>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</si>
  <si>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</si>
  <si>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</si>
  <si>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</si>
  <si>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</si>
  <si>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</si>
  <si>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</si>
  <si>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</si>
  <si>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</si>
  <si>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</si>
  <si>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</si>
  <si>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</si>
  <si>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</si>
  <si>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</si>
  <si>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</si>
  <si>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</si>
  <si>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</si>
  <si>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</si>
  <si>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</si>
  <si>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</si>
  <si>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</si>
  <si>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</si>
  <si>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</si>
  <si>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</si>
  <si>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</si>
  <si>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</si>
  <si>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</si>
  <si>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</si>
  <si>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</si>
  <si>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</si>
  <si>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</si>
  <si>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</si>
  <si>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</si>
  <si>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</si>
  <si>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</si>
  <si>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</si>
  <si>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</si>
  <si>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</si>
  <si>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</si>
  <si>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</si>
  <si>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</si>
  <si>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</si>
  <si>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</si>
  <si>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</si>
  <si>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</si>
  <si>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</si>
  <si>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</si>
  <si>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</si>
  <si>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</si>
  <si>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</si>
  <si>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</si>
  <si>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</si>
  <si>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</si>
  <si>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</si>
  <si>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</si>
  <si>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</si>
  <si>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</si>
  <si>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</si>
  <si>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</si>
  <si>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</si>
  <si>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</si>
  <si>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</si>
  <si>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</si>
  <si>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</si>
  <si>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</si>
  <si>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</si>
  <si>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</si>
  <si>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</si>
  <si>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</si>
  <si>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</si>
  <si>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</si>
  <si>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</si>
  <si>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</si>
  <si>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</si>
  <si>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</si>
  <si>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</si>
  <si>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</si>
  <si>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</si>
  <si>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</si>
  <si>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</si>
  <si>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</si>
  <si>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</si>
  <si>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</si>
  <si>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</si>
  <si>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</si>
  <si>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</si>
  <si>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</si>
  <si>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</si>
  <si>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</si>
  <si>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</si>
  <si>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</si>
  <si>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</si>
  <si>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</si>
  <si>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</si>
  <si>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</si>
  <si>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</si>
  <si>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</si>
  <si>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</si>
  <si>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</si>
  <si>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</si>
  <si>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</si>
  <si>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</si>
  <si>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</si>
  <si>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</si>
  <si>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</si>
  <si>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</si>
  <si>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</si>
  <si>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</si>
  <si>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</si>
  <si>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</si>
  <si>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</si>
  <si>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</si>
  <si>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</si>
  <si>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</si>
  <si>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</si>
  <si>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</si>
  <si>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</si>
  <si>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</si>
  <si>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</si>
  <si>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</si>
  <si>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</si>
  <si>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</si>
  <si>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</si>
  <si>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</si>
  <si>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</si>
  <si>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</si>
  <si>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</si>
  <si>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</si>
  <si>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</si>
  <si>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</si>
  <si>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</si>
  <si>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</si>
  <si>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</si>
  <si>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</si>
  <si>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</si>
  <si>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</si>
  <si>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</si>
  <si>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</si>
  <si>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</si>
  <si>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</si>
  <si>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</si>
  <si>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</si>
  <si>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</si>
  <si>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</si>
  <si>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</si>
  <si>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</si>
  <si>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</si>
  <si>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</si>
  <si>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</si>
  <si>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</si>
  <si>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</si>
  <si>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</si>
  <si>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</si>
  <si>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</si>
  <si>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</si>
  <si>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</si>
  <si>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</si>
  <si>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</si>
  <si>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</si>
  <si>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</si>
  <si>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</si>
  <si>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</si>
  <si>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</si>
  <si>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</si>
  <si>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</si>
  <si>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</si>
  <si>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</si>
  <si>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</si>
  <si>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</si>
  <si>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</si>
  <si>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</si>
  <si>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</si>
  <si>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</si>
  <si>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</si>
  <si>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</si>
  <si>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</si>
  <si>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</si>
  <si>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</si>
  <si>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</si>
  <si>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</si>
  <si>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</si>
  <si>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</si>
  <si>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</si>
  <si>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</si>
  <si>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</si>
  <si>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</si>
  <si>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</si>
  <si>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</si>
  <si>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</si>
  <si>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</si>
  <si>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</si>
  <si>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</si>
  <si>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</si>
  <si>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</si>
  <si>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</si>
  <si>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</si>
  <si>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</si>
  <si>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</si>
  <si>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</si>
  <si>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</si>
  <si>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</si>
  <si>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</si>
  <si>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</si>
  <si>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</si>
  <si>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</si>
  <si>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</si>
  <si>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</si>
  <si>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</si>
  <si>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</si>
  <si>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</si>
  <si>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</si>
  <si>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</si>
  <si>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</si>
  <si>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</si>
  <si>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</si>
  <si>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</si>
  <si>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</si>
  <si>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</si>
  <si>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</si>
  <si>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</si>
  <si>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</si>
  <si>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</si>
  <si>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</si>
  <si>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</si>
  <si>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</si>
  <si>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</si>
  <si>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</si>
  <si>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</si>
  <si>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</si>
  <si>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</si>
  <si>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</si>
  <si>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</si>
  <si>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</si>
  <si>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</si>
  <si>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</si>
  <si>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</si>
  <si>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</si>
  <si>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</si>
  <si>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</si>
  <si>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</si>
  <si>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</si>
  <si>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</si>
  <si>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</si>
  <si>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</si>
  <si>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</si>
  <si>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</si>
  <si>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</si>
  <si>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</si>
  <si>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</si>
  <si>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</si>
  <si>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</si>
  <si>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</si>
  <si>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</si>
  <si>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</si>
  <si>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</si>
  <si>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</si>
  <si>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</si>
  <si>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</si>
  <si>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</si>
  <si>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</si>
  <si>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</si>
  <si>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</si>
  <si>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</si>
  <si>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</si>
  <si>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</si>
  <si>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</si>
  <si>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</si>
  <si>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</si>
  <si>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</si>
  <si>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</si>
  <si>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</si>
  <si>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</si>
  <si>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</si>
  <si>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</si>
  <si>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</si>
  <si>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</si>
  <si>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</si>
  <si>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</si>
  <si>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</si>
  <si>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</si>
  <si>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</si>
  <si>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</si>
  <si>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</si>
  <si>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</si>
  <si>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</si>
  <si>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</si>
  <si>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</si>
  <si>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</si>
  <si>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</si>
  <si>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</si>
  <si>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</si>
  <si>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</si>
  <si>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</si>
  <si>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</si>
  <si>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</si>
  <si>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</si>
  <si>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</si>
  <si>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</si>
  <si>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</si>
  <si>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</si>
  <si>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</si>
  <si>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</si>
  <si>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</si>
  <si>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</si>
  <si>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</si>
  <si>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</si>
  <si>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</si>
  <si>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</si>
  <si>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</si>
  <si>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</si>
  <si>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</si>
  <si>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</si>
  <si>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</si>
  <si>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</si>
  <si>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</si>
  <si>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</si>
  <si>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</si>
  <si>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</si>
  <si>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</si>
  <si>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</si>
  <si>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</si>
  <si>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</si>
  <si>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</si>
  <si>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</si>
  <si>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</si>
  <si>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</si>
  <si>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</si>
  <si>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</si>
  <si>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</si>
  <si>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</si>
  <si>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</si>
  <si>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</si>
  <si>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</si>
  <si>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</si>
  <si>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</si>
  <si>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</si>
  <si>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</si>
  <si>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</si>
  <si>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</si>
  <si>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</si>
  <si>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</si>
  <si>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</si>
  <si>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</si>
  <si>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</si>
  <si>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</si>
  <si>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</si>
  <si>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</si>
  <si>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</si>
  <si>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</si>
  <si>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</si>
  <si>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</si>
  <si>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</si>
  <si>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</si>
  <si>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</si>
  <si>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</si>
  <si>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</si>
  <si>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</si>
  <si>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</si>
  <si>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</si>
  <si>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</si>
  <si>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</si>
  <si>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</si>
  <si>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</si>
  <si>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</si>
  <si>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</si>
  <si>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</si>
  <si>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</si>
  <si>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</si>
  <si>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</si>
  <si>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</si>
  <si>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</si>
  <si>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</si>
  <si>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</si>
  <si>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</si>
  <si>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</si>
  <si>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</si>
  <si>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</si>
  <si>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</si>
  <si>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</si>
  <si>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</si>
  <si>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</si>
  <si>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</si>
  <si>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</si>
  <si>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</si>
  <si>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</si>
  <si>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</si>
  <si>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</si>
  <si>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</si>
  <si>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</si>
  <si>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</si>
  <si>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</si>
  <si>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</si>
  <si>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</si>
  <si>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</si>
  <si>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</si>
  <si>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</si>
  <si>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</si>
  <si>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</si>
  <si>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</si>
  <si>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</si>
  <si>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</si>
  <si>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</si>
  <si>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</si>
  <si>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</si>
  <si>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</si>
  <si>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</si>
  <si>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</si>
  <si>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</si>
  <si>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</si>
  <si>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</si>
  <si>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</si>
  <si>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</si>
  <si>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</si>
  <si>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</si>
  <si>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</si>
  <si>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</si>
  <si>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</si>
  <si>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</si>
  <si>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</si>
  <si>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</si>
  <si>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</si>
  <si>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</si>
  <si>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</si>
  <si>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</si>
  <si>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</si>
  <si>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</si>
  <si>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</si>
  <si>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</si>
  <si>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</si>
  <si>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</si>
  <si>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</si>
  <si>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</si>
  <si>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</si>
  <si>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</si>
  <si>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</si>
  <si>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</si>
  <si>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</si>
  <si>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</si>
  <si>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</si>
  <si>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</si>
  <si>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</si>
  <si>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</si>
  <si>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</si>
  <si>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</si>
  <si>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</si>
  <si>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</si>
  <si>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</si>
  <si>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</si>
  <si>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</si>
  <si>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</si>
  <si>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</si>
  <si>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</si>
  <si>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</si>
  <si>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</si>
  <si>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</si>
  <si>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</si>
  <si>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</si>
  <si>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</si>
  <si>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</si>
  <si>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</si>
  <si>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</si>
  <si>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</si>
  <si>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</si>
  <si>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</si>
  <si>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</si>
  <si>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</si>
  <si>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</si>
  <si>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</si>
  <si>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</si>
  <si>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</si>
  <si>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</si>
  <si>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</si>
  <si>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</si>
  <si>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</si>
  <si>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</si>
  <si>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</si>
  <si>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</si>
  <si>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</si>
  <si>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</si>
  <si>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</si>
  <si>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</si>
  <si>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</si>
  <si>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</si>
  <si>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</si>
  <si>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</si>
  <si>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</si>
  <si>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</si>
  <si>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</si>
  <si>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</si>
  <si>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</si>
  <si>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</si>
  <si>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</si>
  <si>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</si>
  <si>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</si>
  <si>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</si>
  <si>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</si>
  <si>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</si>
  <si>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</si>
  <si>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</si>
  <si>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</si>
  <si>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</si>
  <si>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</si>
  <si>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</si>
  <si>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</si>
  <si>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</si>
  <si>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</si>
  <si>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</si>
  <si>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</si>
  <si>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</si>
  <si>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</si>
  <si>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</si>
  <si>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</si>
  <si>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</si>
  <si>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</si>
  <si>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</si>
  <si>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</si>
  <si>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</si>
  <si>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</si>
  <si>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</si>
  <si>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</si>
  <si>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</si>
  <si>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</si>
  <si>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</si>
  <si>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</si>
  <si>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</si>
  <si>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</si>
  <si>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</si>
  <si>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</si>
  <si>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</si>
  <si>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</si>
  <si>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</si>
  <si>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</si>
  <si>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</si>
  <si>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</si>
  <si>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</si>
  <si>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</si>
  <si>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</si>
  <si>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</si>
  <si>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</si>
  <si>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</si>
  <si>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</si>
  <si>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</si>
  <si>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</si>
  <si>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</si>
  <si>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</si>
  <si>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</si>
  <si>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</si>
  <si>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</si>
  <si>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</si>
  <si>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</si>
  <si>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</si>
  <si>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</si>
  <si>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</si>
  <si>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</si>
  <si>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</si>
  <si>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</si>
  <si>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</si>
  <si>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</si>
  <si>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</si>
  <si>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</si>
  <si>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</si>
  <si>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</si>
  <si>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</si>
  <si>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</si>
  <si>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</si>
  <si>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</si>
  <si>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</si>
  <si>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</si>
  <si>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</si>
  <si>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</si>
  <si>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</si>
  <si>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</si>
  <si>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</si>
  <si>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</si>
  <si>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</si>
  <si>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</si>
  <si>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</si>
  <si>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</si>
  <si>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</si>
  <si>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</si>
  <si>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</si>
  <si>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</si>
  <si>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</si>
  <si>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</si>
  <si>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</si>
  <si>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</si>
  <si>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</si>
  <si>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</si>
  <si>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</si>
  <si>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</si>
  <si>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</si>
  <si>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</si>
  <si>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</si>
  <si>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</si>
  <si>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</si>
  <si>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</si>
  <si>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</si>
  <si>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</si>
  <si>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</si>
  <si>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</si>
  <si>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</si>
  <si>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</si>
  <si>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</si>
  <si>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</si>
  <si>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</si>
  <si>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</si>
  <si>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</si>
  <si>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</si>
  <si>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</si>
  <si>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</si>
  <si>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</si>
  <si>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</si>
  <si>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</si>
  <si>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</si>
  <si>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</si>
  <si>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</si>
  <si>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</si>
  <si>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</si>
  <si>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</si>
  <si>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</si>
  <si>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</si>
  <si>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</si>
  <si>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</si>
  <si>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</si>
  <si>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</si>
  <si>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</si>
  <si>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</si>
  <si>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</si>
  <si>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</si>
  <si>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</si>
  <si>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</si>
  <si>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</si>
  <si>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</si>
  <si>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</si>
  <si>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</si>
  <si>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</si>
  <si>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</si>
  <si>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</si>
  <si>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</si>
  <si>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</si>
  <si>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</si>
  <si>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</si>
  <si>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</si>
  <si>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</si>
  <si>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</si>
  <si>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</si>
  <si>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</si>
  <si>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</si>
  <si>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</si>
  <si>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</si>
  <si>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</si>
  <si>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</si>
  <si>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</si>
  <si>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</si>
  <si>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</si>
  <si>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</si>
  <si>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</si>
  <si>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</si>
  <si>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</si>
  <si>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</si>
  <si>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</si>
  <si>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</si>
  <si>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</si>
  <si>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</si>
  <si>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</si>
  <si>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</si>
  <si>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</si>
  <si>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</si>
  <si>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</si>
  <si>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</si>
  <si>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</si>
  <si>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</si>
  <si>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</si>
  <si>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</si>
  <si>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</si>
  <si>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</si>
  <si>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</si>
  <si>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</si>
  <si>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</si>
  <si>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</si>
  <si>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</si>
  <si>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</si>
  <si>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</si>
  <si>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</si>
  <si>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</si>
  <si>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</si>
  <si>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</si>
  <si>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</si>
  <si>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</si>
  <si>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</si>
  <si>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</si>
  <si>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</si>
  <si>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</si>
  <si>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</si>
  <si>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</si>
  <si>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</si>
  <si>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</si>
  <si>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</si>
  <si>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</si>
  <si>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</si>
  <si>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</si>
  <si>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</si>
  <si>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</si>
  <si>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</si>
  <si>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</si>
  <si>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</si>
  <si>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</si>
  <si>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</si>
  <si>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</si>
  <si>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</si>
  <si>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</si>
  <si>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</si>
  <si>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</si>
  <si>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</si>
  <si>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</si>
  <si>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</si>
  <si>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</si>
  <si>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</si>
  <si>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</si>
  <si>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</si>
  <si>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</si>
  <si>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</si>
  <si>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</si>
  <si>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</si>
  <si>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</si>
  <si>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</si>
  <si>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</si>
  <si>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</si>
  <si>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</si>
  <si>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</si>
  <si>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</si>
  <si>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</si>
  <si>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</si>
  <si>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</si>
  <si>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</si>
  <si>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</si>
  <si>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</si>
  <si>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</si>
  <si>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</si>
  <si>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</si>
  <si>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</si>
  <si>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</si>
  <si>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</si>
  <si>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</si>
  <si>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</si>
  <si>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</si>
  <si>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</si>
  <si>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</si>
  <si>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</si>
  <si>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</si>
  <si>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</si>
  <si>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</si>
  <si>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</si>
  <si>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</si>
  <si>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</si>
  <si>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</si>
  <si>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</si>
  <si>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</si>
  <si>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</si>
  <si>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</si>
  <si>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</si>
  <si>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</si>
  <si>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</si>
  <si>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</si>
  <si>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</si>
  <si>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</si>
  <si>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</si>
  <si>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</si>
  <si>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</si>
  <si>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</si>
  <si>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</si>
  <si>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</si>
  <si>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</si>
  <si>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</si>
  <si>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</si>
  <si>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</si>
  <si>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</si>
  <si>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</si>
  <si>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</si>
  <si>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</si>
  <si>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</si>
  <si>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</si>
  <si>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</si>
  <si>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</si>
  <si>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</si>
  <si>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</si>
  <si>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</si>
  <si>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</si>
  <si>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</si>
  <si>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</si>
  <si>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</si>
  <si>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</si>
  <si>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</si>
  <si>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</si>
  <si>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</si>
  <si>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</si>
  <si>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</si>
  <si>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</si>
  <si>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</si>
  <si>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</si>
  <si>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</si>
  <si>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</si>
  <si>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</si>
  <si>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</si>
  <si>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</si>
  <si>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</si>
  <si>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</si>
  <si>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</si>
  <si>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</si>
  <si>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</si>
  <si>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</si>
  <si>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</si>
  <si>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</si>
  <si>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</si>
  <si>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</si>
  <si>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</si>
  <si>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</si>
  <si>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</si>
  <si>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</si>
  <si>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</si>
  <si>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</si>
  <si>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</si>
  <si>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</si>
  <si>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</si>
  <si>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</si>
  <si>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</si>
  <si>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</si>
  <si>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</si>
  <si>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</si>
  <si>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</si>
  <si>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</si>
  <si>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</si>
  <si>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</si>
  <si>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</si>
  <si>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</si>
  <si>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</si>
  <si>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</si>
  <si>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</si>
  <si>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</si>
  <si>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</si>
  <si>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</si>
  <si>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</si>
  <si>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</si>
  <si>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</si>
  <si>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</si>
  <si>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</si>
  <si>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</si>
  <si>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</si>
  <si>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</si>
  <si>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</si>
  <si>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</si>
  <si>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</si>
  <si>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</si>
  <si>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</si>
  <si>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</si>
  <si>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</si>
  <si>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</si>
  <si>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</si>
  <si>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</si>
  <si>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</si>
  <si>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</si>
  <si>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</si>
  <si>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</si>
  <si>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</si>
  <si>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</si>
  <si>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</si>
  <si>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</si>
  <si>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</si>
  <si>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</si>
  <si>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</si>
  <si>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</si>
  <si>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</si>
  <si>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</si>
  <si>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</si>
  <si>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</si>
  <si>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</si>
  <si>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</si>
  <si>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</si>
  <si>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</si>
  <si>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</si>
  <si>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</si>
  <si>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</si>
  <si>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</si>
  <si>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</si>
  <si>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</si>
  <si>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</si>
  <si>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</si>
  <si>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</si>
  <si>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</si>
  <si>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</si>
  <si>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</si>
  <si>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</si>
  <si>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</si>
  <si>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</si>
  <si>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</si>
  <si>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</si>
  <si>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</si>
  <si>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</si>
  <si>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</si>
  <si>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</si>
  <si>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</si>
  <si>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</si>
  <si>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</si>
  <si>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</si>
  <si>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</si>
  <si>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</si>
  <si>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</si>
  <si>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</si>
  <si>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</si>
  <si>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</si>
  <si>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</si>
  <si>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</si>
  <si>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</si>
  <si>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</si>
  <si>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</si>
  <si>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</si>
  <si>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</si>
  <si>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</si>
  <si>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</si>
  <si>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</si>
  <si>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</si>
  <si>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</si>
  <si>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</si>
  <si>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</si>
  <si>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</si>
  <si>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</si>
  <si>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</si>
  <si>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</si>
  <si>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</si>
  <si>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</si>
  <si>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</si>
  <si>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</si>
  <si>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</si>
  <si>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</si>
  <si>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</si>
  <si>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</si>
  <si>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</si>
  <si>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</si>
  <si>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</si>
  <si>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</si>
  <si>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</si>
  <si>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</si>
  <si>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</si>
  <si>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</si>
  <si>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</si>
  <si>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</si>
  <si>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</si>
  <si>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</si>
  <si>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</si>
  <si>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</si>
  <si>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</si>
  <si>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</si>
  <si>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</si>
  <si>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</si>
  <si>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</si>
  <si>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</si>
  <si>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</si>
  <si>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</si>
  <si>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</si>
  <si>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</si>
  <si>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</si>
  <si>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</si>
  <si>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</si>
  <si>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</si>
  <si>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</si>
  <si>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</si>
  <si>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</si>
  <si>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</si>
  <si>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</si>
  <si>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</si>
  <si>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</si>
  <si>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</si>
  <si>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</si>
  <si>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</si>
  <si>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</si>
  <si>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</si>
  <si>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</si>
  <si>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</si>
  <si>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</si>
  <si>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</si>
  <si>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</si>
  <si>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</si>
  <si>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</si>
  <si>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</si>
  <si>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</si>
  <si>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</si>
  <si>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</si>
  <si>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</si>
  <si>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</si>
  <si>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</si>
  <si>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</si>
  <si>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</si>
  <si>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</si>
  <si>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</si>
  <si>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</si>
  <si>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</si>
  <si>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</si>
  <si>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</si>
  <si>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</si>
  <si>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</si>
  <si>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</si>
  <si>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</si>
  <si>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</si>
  <si>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</si>
  <si>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</si>
  <si>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</si>
  <si>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</si>
  <si>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</si>
  <si>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</si>
  <si>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</si>
  <si>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</si>
  <si>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</si>
  <si>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</si>
  <si>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</si>
  <si>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</si>
  <si>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</si>
  <si>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</si>
  <si>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</si>
  <si>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</si>
  <si>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</si>
  <si>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</si>
  <si>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</si>
  <si>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</si>
  <si>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</si>
  <si>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</si>
  <si>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</si>
  <si>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</si>
  <si>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</si>
  <si>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</si>
  <si>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</si>
  <si>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</si>
  <si>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</si>
  <si>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</si>
  <si>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</si>
  <si>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</si>
  <si>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</si>
  <si>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</si>
  <si>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</si>
  <si>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</si>
  <si>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</si>
  <si>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</si>
  <si>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</si>
  <si>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</si>
  <si>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</si>
  <si>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</si>
  <si>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</si>
  <si>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</si>
  <si>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</si>
  <si>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</si>
  <si>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</si>
  <si>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</si>
  <si>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</si>
  <si>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</si>
  <si>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</si>
  <si>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</si>
  <si>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</si>
  <si>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</si>
  <si>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</si>
  <si>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</si>
  <si>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</si>
  <si>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</si>
  <si>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</si>
  <si>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</si>
  <si>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</si>
  <si>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</si>
  <si>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</si>
  <si>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</si>
  <si>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</si>
  <si>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</si>
  <si>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</si>
  <si>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</si>
  <si>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</si>
  <si>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</si>
  <si>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</si>
  <si>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</si>
  <si>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</si>
  <si>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</si>
  <si>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</si>
  <si>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</si>
  <si>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</si>
  <si>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</si>
  <si>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</si>
  <si>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</si>
  <si>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</si>
  <si>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</si>
  <si>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</si>
  <si>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</si>
  <si>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</si>
  <si>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</si>
  <si>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</si>
  <si>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</si>
  <si>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</si>
  <si>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</si>
  <si>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</si>
  <si>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</si>
  <si>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</si>
  <si>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</si>
  <si>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</si>
  <si>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</si>
  <si>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</si>
  <si>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</si>
  <si>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</si>
  <si>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</si>
  <si>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</si>
  <si>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</si>
  <si>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</si>
  <si>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</si>
  <si>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</si>
  <si>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</si>
  <si>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</si>
  <si>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</si>
  <si>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</si>
  <si>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</si>
  <si>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</si>
  <si>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</si>
  <si>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</si>
  <si>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</si>
  <si>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</si>
  <si>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</si>
  <si>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</si>
  <si>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</si>
  <si>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</si>
  <si>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</si>
  <si>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</si>
  <si>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</si>
  <si>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</si>
  <si>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</si>
  <si>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</si>
  <si>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</si>
  <si>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</si>
  <si>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</si>
  <si>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</si>
  <si>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</si>
  <si>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</si>
  <si>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</si>
  <si>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</si>
  <si>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</si>
  <si>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</si>
  <si>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</si>
  <si>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</si>
  <si>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</si>
  <si>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</si>
  <si>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</si>
  <si>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</si>
  <si>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</si>
  <si>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</si>
  <si>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</si>
  <si>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</si>
  <si>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</si>
  <si>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</si>
  <si>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</si>
  <si>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</si>
  <si>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</si>
  <si>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</si>
  <si>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</si>
  <si>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</si>
  <si>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</si>
  <si>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</si>
  <si>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</si>
  <si>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</si>
  <si>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</si>
  <si>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</si>
  <si>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</si>
  <si>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</si>
  <si>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</si>
  <si>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</si>
  <si>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</si>
  <si>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</si>
  <si>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</si>
  <si>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</si>
  <si>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</si>
  <si>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</si>
  <si>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</si>
  <si>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</si>
  <si>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</si>
  <si>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</si>
  <si>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</si>
  <si>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</si>
  <si>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</si>
  <si>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</si>
  <si>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</si>
  <si>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</si>
  <si>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</si>
  <si>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</si>
  <si>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</si>
  <si>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</si>
  <si>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</si>
  <si>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</si>
  <si>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</si>
  <si>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</si>
  <si>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</si>
  <si>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</si>
  <si>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</si>
  <si>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</si>
  <si>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</si>
  <si>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</si>
  <si>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</si>
  <si>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</si>
  <si>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</si>
  <si>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</si>
  <si>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</si>
  <si>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</si>
  <si>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</si>
  <si>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</si>
  <si>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</si>
  <si>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</si>
  <si>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</si>
  <si>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</si>
  <si>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</si>
  <si>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</si>
  <si>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</si>
  <si>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</si>
  <si>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</si>
  <si>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</si>
  <si>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</si>
  <si>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</si>
  <si>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</si>
  <si>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</si>
  <si>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</si>
  <si>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</si>
  <si>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</si>
  <si>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</si>
  <si>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</si>
  <si>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</si>
  <si>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</si>
  <si>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</si>
  <si>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</si>
  <si>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</si>
  <si>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</si>
  <si>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</si>
  <si>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</si>
  <si>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</si>
  <si>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</si>
  <si>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</si>
  <si>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</si>
  <si>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</si>
  <si>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</si>
  <si>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</si>
  <si>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</si>
  <si>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</si>
  <si>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</si>
  <si>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</si>
  <si>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</si>
  <si>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</si>
  <si>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</si>
  <si>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</si>
  <si>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</si>
  <si>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</si>
  <si>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</si>
  <si>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</si>
  <si>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</si>
  <si>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</si>
  <si>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</si>
  <si>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</si>
  <si>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</si>
  <si>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</si>
  <si>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</si>
  <si>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</si>
  <si>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</si>
  <si>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</si>
  <si>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</si>
  <si>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</si>
  <si>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</si>
  <si>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</si>
  <si>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</si>
  <si>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</si>
  <si>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</si>
  <si>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</si>
  <si>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</si>
  <si>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</si>
  <si>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</si>
  <si>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</si>
  <si>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</si>
  <si>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</si>
  <si>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</si>
  <si>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</si>
  <si>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</si>
  <si>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</si>
  <si>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</si>
  <si>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</si>
  <si>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</si>
  <si>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</si>
  <si>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</si>
  <si>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</si>
  <si>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</si>
  <si>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</si>
  <si>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</si>
  <si>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</si>
  <si>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</si>
  <si>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</si>
  <si>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</si>
  <si>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</si>
  <si>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</si>
  <si>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</si>
  <si>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</si>
  <si>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</si>
  <si>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</si>
  <si>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</si>
  <si>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</si>
  <si>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</si>
  <si>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</si>
  <si>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</si>
  <si>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</si>
  <si>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</si>
  <si>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</si>
  <si>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</si>
  <si>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</si>
  <si>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</si>
  <si>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</si>
  <si>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</si>
  <si>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</si>
  <si>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</si>
  <si>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</si>
  <si>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</si>
  <si>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</si>
  <si>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</si>
  <si>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</si>
  <si>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</si>
  <si>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</si>
  <si>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</si>
  <si>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</si>
  <si>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</si>
  <si>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</si>
  <si>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</si>
  <si>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</si>
  <si>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</si>
  <si>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</si>
  <si>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</si>
  <si>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</si>
  <si>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</si>
  <si>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</si>
  <si>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</si>
  <si>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</si>
  <si>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</si>
  <si>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</si>
  <si>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</si>
  <si>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</si>
  <si>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</si>
  <si>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</si>
  <si>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</si>
  <si>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</si>
  <si>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</si>
  <si>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</si>
  <si>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</si>
  <si>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</si>
  <si>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</si>
  <si>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</si>
  <si>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</si>
  <si>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</si>
  <si>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</si>
  <si>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</si>
  <si>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</si>
  <si>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</si>
  <si>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</si>
  <si>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</si>
  <si>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</si>
  <si>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</si>
  <si>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</si>
  <si>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</si>
  <si>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</si>
  <si>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</si>
  <si>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</si>
  <si>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</si>
  <si>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</si>
  <si>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</si>
  <si>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</si>
  <si>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</si>
  <si>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</si>
  <si>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</si>
  <si>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</si>
  <si>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</si>
  <si>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</si>
  <si>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</si>
  <si>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</si>
  <si>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</si>
  <si>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</si>
  <si>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</si>
  <si>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</si>
  <si>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</si>
  <si>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</si>
  <si>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</si>
  <si>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</si>
  <si>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</si>
  <si>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</si>
  <si>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</si>
  <si>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</si>
  <si>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</si>
  <si>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</si>
  <si>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</si>
  <si>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</si>
  <si>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</si>
  <si>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</si>
  <si>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</si>
  <si>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</si>
  <si>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</si>
  <si>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</si>
  <si>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</si>
  <si>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</si>
  <si>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</si>
  <si>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</si>
  <si>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</si>
  <si>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</si>
  <si>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</si>
  <si>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</si>
  <si>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</si>
  <si>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</si>
  <si>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</si>
  <si>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</si>
  <si>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</si>
  <si>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</si>
  <si>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</si>
  <si>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</si>
  <si>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</si>
  <si>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</si>
  <si>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</si>
  <si>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</si>
  <si>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</si>
  <si>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</si>
  <si>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</si>
  <si>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</si>
  <si>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</si>
  <si>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</si>
  <si>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</si>
  <si>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</si>
  <si>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</si>
  <si>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</si>
  <si>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</si>
  <si>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</si>
  <si>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</si>
  <si>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</si>
  <si>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</si>
  <si>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</si>
  <si>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</si>
  <si>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</si>
  <si>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</si>
  <si>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</si>
  <si>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</si>
  <si>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</si>
  <si>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</si>
  <si>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</si>
  <si>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</si>
  <si>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</si>
  <si>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</si>
  <si>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</si>
  <si>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</si>
  <si>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</si>
  <si>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</si>
  <si>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</si>
  <si>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</si>
  <si>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</si>
  <si>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</si>
  <si>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</si>
  <si>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</si>
  <si>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</si>
  <si>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</si>
  <si>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</si>
  <si>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</si>
  <si>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</si>
  <si>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</si>
  <si>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</si>
  <si>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</si>
  <si>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</si>
  <si>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</si>
  <si>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</si>
  <si>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</si>
  <si>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</si>
  <si>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</si>
  <si>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</si>
  <si>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</si>
  <si>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</si>
  <si>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</si>
  <si>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</si>
  <si>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</si>
  <si>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</si>
  <si>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</si>
  <si>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</si>
  <si>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</si>
  <si>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</si>
  <si>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</si>
  <si>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</si>
  <si>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</si>
  <si>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</si>
  <si>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</si>
  <si>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</si>
  <si>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</si>
  <si>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</si>
  <si>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</si>
  <si>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</si>
  <si>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</si>
  <si>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</si>
  <si>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</si>
  <si>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</si>
  <si>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</si>
  <si>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</si>
  <si>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</si>
  <si>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</si>
  <si>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</si>
  <si>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</si>
  <si>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</si>
  <si>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</si>
  <si>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</si>
  <si>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</si>
  <si>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</si>
  <si>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</si>
  <si>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</si>
  <si>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</si>
  <si>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</si>
  <si>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</si>
  <si>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</si>
  <si>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</si>
  <si>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</si>
  <si>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</si>
  <si>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</si>
  <si>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</si>
  <si>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</si>
  <si>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</si>
  <si>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</si>
  <si>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</si>
  <si>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</si>
  <si>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</si>
  <si>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</si>
  <si>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</si>
  <si>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</si>
  <si>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</si>
  <si>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</si>
  <si>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</si>
  <si>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</si>
  <si>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</si>
  <si>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</si>
  <si>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</si>
  <si>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</si>
  <si>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</si>
  <si>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</si>
  <si>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</si>
  <si>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</si>
  <si>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</si>
  <si>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</si>
  <si>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</si>
  <si>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</si>
  <si>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</si>
  <si>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</si>
  <si>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</si>
  <si>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</si>
  <si>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</si>
  <si>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</si>
  <si>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</si>
  <si>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</si>
  <si>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</si>
  <si>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</si>
  <si>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</si>
  <si>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</si>
  <si>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</si>
  <si>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</si>
  <si>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</si>
  <si>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</si>
  <si>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</si>
  <si>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</si>
  <si>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</si>
  <si>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</si>
  <si>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</si>
  <si>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</si>
  <si>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</si>
  <si>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</si>
  <si>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</si>
  <si>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</si>
  <si>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</si>
  <si>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</si>
  <si>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</si>
  <si>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</si>
  <si>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</si>
  <si>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</si>
  <si>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</si>
  <si>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</si>
  <si>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</si>
  <si>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</si>
  <si>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</si>
  <si>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</si>
  <si>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</si>
  <si>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</si>
  <si>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</si>
  <si>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</si>
  <si>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</si>
  <si>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</si>
  <si>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</si>
  <si>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</si>
  <si>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</si>
  <si>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</si>
  <si>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</si>
  <si>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</si>
  <si>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</si>
  <si>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</si>
  <si>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</si>
  <si>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</si>
  <si>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</si>
  <si>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</si>
  <si>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</si>
  <si>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</si>
  <si>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</si>
  <si>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</si>
  <si>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</si>
  <si>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</si>
  <si>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</si>
  <si>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</si>
  <si>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</si>
  <si>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</si>
  <si>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</si>
  <si>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</si>
  <si>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</si>
  <si>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</si>
  <si>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</si>
  <si>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</si>
  <si>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</si>
  <si>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</si>
  <si>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</si>
  <si>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</si>
  <si>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</si>
  <si>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</si>
  <si>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</si>
  <si>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</si>
  <si>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</si>
  <si>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</si>
  <si>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</si>
  <si>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</si>
  <si>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</si>
  <si>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</si>
  <si>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</si>
  <si>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</si>
  <si>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</si>
  <si>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</si>
  <si>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</si>
  <si>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</si>
  <si>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</si>
  <si>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</si>
  <si>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</si>
  <si>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</si>
  <si>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</si>
  <si>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</si>
  <si>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</si>
  <si>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</si>
  <si>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</si>
  <si>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</si>
  <si>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</si>
  <si>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</si>
  <si>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</si>
  <si>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</si>
  <si>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</si>
  <si>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</si>
  <si>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</si>
  <si>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</si>
  <si>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</si>
  <si>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</si>
  <si>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</si>
  <si>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</si>
  <si>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</si>
  <si>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</si>
  <si>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</si>
  <si>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</si>
  <si>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</si>
  <si>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</si>
  <si>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</si>
  <si>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</si>
  <si>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</si>
  <si>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</si>
  <si>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</si>
  <si>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</si>
  <si>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</si>
  <si>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</si>
  <si>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</si>
  <si>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</si>
  <si>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</si>
  <si>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</si>
  <si>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</si>
  <si>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</si>
  <si>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</si>
  <si>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</si>
  <si>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</si>
  <si>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</si>
  <si>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</si>
  <si>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</si>
  <si>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</si>
  <si>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</si>
  <si>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</si>
  <si>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</si>
  <si>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</si>
  <si>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</si>
  <si>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</si>
  <si>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</si>
  <si>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</si>
  <si>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</si>
  <si>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</si>
  <si>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</si>
  <si>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</si>
  <si>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</si>
  <si>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</si>
  <si>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</si>
  <si>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</si>
  <si>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</si>
  <si>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</si>
  <si>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</si>
  <si>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</si>
  <si>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</si>
  <si>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</si>
  <si>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</si>
  <si>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</si>
  <si>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</si>
  <si>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</si>
  <si>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</si>
  <si>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</si>
  <si>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</si>
  <si>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</si>
  <si>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</si>
  <si>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</si>
  <si>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</si>
  <si>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</si>
  <si>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</si>
  <si>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</si>
  <si>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</si>
  <si>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</si>
  <si>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</si>
  <si>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</si>
  <si>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</si>
  <si>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</si>
  <si>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</si>
  <si>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</si>
  <si>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</si>
  <si>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</si>
  <si>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</si>
  <si>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</si>
  <si>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</si>
  <si>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</si>
  <si>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</si>
  <si>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</si>
  <si>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</si>
  <si>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</si>
  <si>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</si>
  <si>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</si>
  <si>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</si>
  <si>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</si>
  <si>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</si>
  <si>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</si>
  <si>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</si>
  <si>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</si>
  <si>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</si>
  <si>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</si>
  <si>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</si>
  <si>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</si>
  <si>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</si>
  <si>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</si>
  <si>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</si>
  <si>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</si>
  <si>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</si>
  <si>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</si>
  <si>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</si>
  <si>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</si>
  <si>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</si>
  <si>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</si>
  <si>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</si>
  <si>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</si>
  <si>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</si>
  <si>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</si>
  <si>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</si>
  <si>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</si>
  <si>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</si>
  <si>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</si>
  <si>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</si>
  <si>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</si>
  <si>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</si>
  <si>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</si>
  <si>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</si>
  <si>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</si>
  <si>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</si>
  <si>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</si>
  <si>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</si>
  <si>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</si>
  <si>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</si>
  <si>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</si>
  <si>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</si>
  <si>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</si>
  <si>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</si>
  <si>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</si>
  <si>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</si>
  <si>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</si>
  <si>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</si>
  <si>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</si>
  <si>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</si>
  <si>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</si>
  <si>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</si>
  <si>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</si>
  <si>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</si>
  <si>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</si>
  <si>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</si>
  <si>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</si>
  <si>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</si>
  <si>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</si>
  <si>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</si>
  <si>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</si>
  <si>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</si>
  <si>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</si>
  <si>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</si>
  <si>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</si>
  <si>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</si>
  <si>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</si>
  <si>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</si>
  <si>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</si>
  <si>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</si>
  <si>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</si>
  <si>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</si>
  <si>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</si>
  <si>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</si>
  <si>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</si>
  <si>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</si>
  <si>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</si>
  <si>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</si>
  <si>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</si>
  <si>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</si>
  <si>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</si>
  <si>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</si>
  <si>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</si>
  <si>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</si>
  <si>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</si>
  <si>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</si>
  <si>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</si>
  <si>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</si>
  <si>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</si>
  <si>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</si>
  <si>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</si>
  <si>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</si>
  <si>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</si>
  <si>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</si>
  <si>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</si>
  <si>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</si>
  <si>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</si>
  <si>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</si>
  <si>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</si>
  <si>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</si>
  <si>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</si>
  <si>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</si>
  <si>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</si>
  <si>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</si>
  <si>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</si>
  <si>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</si>
  <si>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</si>
  <si>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</si>
  <si>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</si>
  <si>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</si>
  <si>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</si>
  <si>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</si>
  <si>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</si>
  <si>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</si>
  <si>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</si>
  <si>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</si>
  <si>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</si>
  <si>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</si>
  <si>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</si>
  <si>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</si>
  <si>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</si>
  <si>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</si>
  <si>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</si>
  <si>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</si>
  <si>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</si>
  <si>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</si>
  <si>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</si>
  <si>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</si>
  <si>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</si>
  <si>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</si>
  <si>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</si>
  <si>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</si>
  <si>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</si>
  <si>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</si>
  <si>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</si>
  <si>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</si>
  <si>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</si>
  <si>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</si>
  <si>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</si>
  <si>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</si>
  <si>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</si>
  <si>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</si>
  <si>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</si>
  <si>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</si>
  <si>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</si>
  <si>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</si>
  <si>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</si>
  <si>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</si>
  <si>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</si>
  <si>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</si>
  <si>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</si>
  <si>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</si>
  <si>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</si>
  <si>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</si>
  <si>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</si>
  <si>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</si>
  <si>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</si>
  <si>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</si>
  <si>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</si>
  <si>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</si>
  <si>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</si>
  <si>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</si>
  <si>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</si>
  <si>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</si>
  <si>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</si>
  <si>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</si>
  <si>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</si>
  <si>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</si>
  <si>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</si>
  <si>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</si>
  <si>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</si>
  <si>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</si>
  <si>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</si>
  <si>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</si>
  <si>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</si>
  <si>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</si>
  <si>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</si>
  <si>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</si>
  <si>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</si>
  <si>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</si>
  <si>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</si>
  <si>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</si>
  <si>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</si>
  <si>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</si>
  <si>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</si>
  <si>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</si>
  <si>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</si>
  <si>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</si>
  <si>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</si>
  <si>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</si>
  <si>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</si>
  <si>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</si>
  <si>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</si>
  <si>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</si>
  <si>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</si>
  <si>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</si>
  <si>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</si>
  <si>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</si>
  <si>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</si>
  <si>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</si>
  <si>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</si>
  <si>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</si>
  <si>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</si>
  <si>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</si>
  <si>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</si>
  <si>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</si>
  <si>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</si>
  <si>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</si>
  <si>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</si>
  <si>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</si>
  <si>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</si>
  <si>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</si>
  <si>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</si>
  <si>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</si>
  <si>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</si>
  <si>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</si>
  <si>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</si>
  <si>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</si>
  <si>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</si>
  <si>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</si>
  <si>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</si>
  <si>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</si>
  <si>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</si>
  <si>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</si>
  <si>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</si>
  <si>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</si>
  <si>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</si>
  <si>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</si>
  <si>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</si>
  <si>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</si>
  <si>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</si>
  <si>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</si>
  <si>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</si>
  <si>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</si>
  <si>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</si>
  <si>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</si>
  <si>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</si>
  <si>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</si>
  <si>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</si>
  <si>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</si>
  <si>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</si>
  <si>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</si>
  <si>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</si>
  <si>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</si>
  <si>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</si>
  <si>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</si>
  <si>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</si>
  <si>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</si>
  <si>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</si>
  <si>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</si>
  <si>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</si>
  <si>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</si>
  <si>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</si>
  <si>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</si>
  <si>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</si>
  <si>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</si>
  <si>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</si>
  <si>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</si>
  <si>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</si>
  <si>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</si>
  <si>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</si>
  <si>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</si>
  <si>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</si>
  <si>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</si>
  <si>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</si>
  <si>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</si>
  <si>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</si>
  <si>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</si>
  <si>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</si>
  <si>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</si>
  <si>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</si>
  <si>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</si>
  <si>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</si>
  <si>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</si>
  <si>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</si>
  <si>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</si>
  <si>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</si>
  <si>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</si>
  <si>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</si>
  <si>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</si>
  <si>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</si>
  <si>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</si>
  <si>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</si>
  <si>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</si>
  <si>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</si>
  <si>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</si>
  <si>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</si>
  <si>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</si>
  <si>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</si>
  <si>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</si>
  <si>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</si>
  <si>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</si>
  <si>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</si>
  <si>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</si>
  <si>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</si>
  <si>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</si>
  <si>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</si>
  <si>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</si>
  <si>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</si>
  <si>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</si>
  <si>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</si>
  <si>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</si>
  <si>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</si>
  <si>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</si>
  <si>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</si>
  <si>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</si>
  <si>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</si>
  <si>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</si>
  <si>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</si>
  <si>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</si>
  <si>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</si>
  <si>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</si>
  <si>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</si>
  <si>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</si>
  <si>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</si>
  <si>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</si>
  <si>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</si>
  <si>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</si>
  <si>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</si>
  <si>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</si>
  <si>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</si>
  <si>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</si>
  <si>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</si>
  <si>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</si>
  <si>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</si>
  <si>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</si>
  <si>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</si>
  <si>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</si>
  <si>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</si>
  <si>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</si>
  <si>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</si>
  <si>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</si>
  <si>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</si>
  <si>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</si>
  <si>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</si>
  <si>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</si>
  <si>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</si>
  <si>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</si>
  <si>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</si>
  <si>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</si>
  <si>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</si>
  <si>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</si>
  <si>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</si>
  <si>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</si>
  <si>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</si>
  <si>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</si>
  <si>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</si>
  <si>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</si>
  <si>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</si>
  <si>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</si>
  <si>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</si>
  <si>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</si>
  <si>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</si>
  <si>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</si>
  <si>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</si>
  <si>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</si>
  <si>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</si>
  <si>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</si>
  <si>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</si>
  <si>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</si>
  <si>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</si>
  <si>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</si>
  <si>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</si>
  <si>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</si>
  <si>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</si>
  <si>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</si>
  <si>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</si>
  <si>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</si>
  <si>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</si>
  <si>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</si>
  <si>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</si>
  <si>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</si>
  <si>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</si>
  <si>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</si>
  <si>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</si>
  <si>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</si>
  <si>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</si>
  <si>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</si>
  <si>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</si>
  <si>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</si>
  <si>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</si>
  <si>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</si>
  <si>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</si>
  <si>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</si>
  <si>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</si>
  <si>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</si>
  <si>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</si>
  <si>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</si>
  <si>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</si>
  <si>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</si>
  <si>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</si>
  <si>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</si>
  <si>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</si>
  <si>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</si>
  <si>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</si>
  <si>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</si>
  <si>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</si>
  <si>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</si>
  <si>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</si>
  <si>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</si>
  <si>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</si>
  <si>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</si>
  <si>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</si>
  <si>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</si>
  <si>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</si>
  <si>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</si>
  <si>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</si>
  <si>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</si>
  <si>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</si>
  <si>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</si>
  <si>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</si>
  <si>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</si>
  <si>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</si>
  <si>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</si>
  <si>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</si>
  <si>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</si>
  <si>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</si>
  <si>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</si>
  <si>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</si>
  <si>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</si>
  <si>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</si>
  <si>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</si>
  <si>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</si>
  <si>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</si>
  <si>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</si>
  <si>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</si>
  <si>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</si>
  <si>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</si>
  <si>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</si>
  <si>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</si>
  <si>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</si>
  <si>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</si>
  <si>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</si>
  <si>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</si>
  <si>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</si>
  <si>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</si>
  <si>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</si>
  <si>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</si>
  <si>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</si>
  <si>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</si>
  <si>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</si>
  <si>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</si>
  <si>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</si>
  <si>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</si>
  <si>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</si>
  <si>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</si>
  <si>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</si>
  <si>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</si>
  <si>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</si>
  <si>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</si>
  <si>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</si>
  <si>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</si>
  <si>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</si>
  <si>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</si>
  <si>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</si>
  <si>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</si>
  <si>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</si>
  <si>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</si>
  <si>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</si>
  <si>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</si>
  <si>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</si>
  <si>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</si>
  <si>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</si>
  <si>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</si>
  <si>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</si>
  <si>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</si>
  <si>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</si>
  <si>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</si>
  <si>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</si>
  <si>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</si>
  <si>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</si>
  <si>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</si>
  <si>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</si>
  <si>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</si>
  <si>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</si>
  <si>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</si>
  <si>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</si>
  <si>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</si>
  <si>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</si>
  <si>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</si>
  <si>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</si>
  <si>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</si>
  <si>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</si>
  <si>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</si>
  <si>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</si>
  <si>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</si>
  <si>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</si>
  <si>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</si>
  <si>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</si>
  <si>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</si>
  <si>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</si>
  <si>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</si>
  <si>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</si>
  <si>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</si>
  <si>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</si>
  <si>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</si>
  <si>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</si>
  <si>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</si>
  <si>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</si>
  <si>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</si>
  <si>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</si>
  <si>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</si>
  <si>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</si>
  <si>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</si>
  <si>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</si>
  <si>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</si>
  <si>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</si>
  <si>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</si>
  <si>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</si>
  <si>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</si>
  <si>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</si>
  <si>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</si>
  <si>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</si>
  <si>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</si>
  <si>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</si>
  <si>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</si>
  <si>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</si>
  <si>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</si>
  <si>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</si>
  <si>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</si>
  <si>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</si>
  <si>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</si>
  <si>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</si>
  <si>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</si>
  <si>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</si>
  <si>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</si>
  <si>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</si>
  <si>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</si>
  <si>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</si>
  <si>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</si>
  <si>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</si>
  <si>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</si>
  <si>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</si>
  <si>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</si>
  <si>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</si>
  <si>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</si>
  <si>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</si>
  <si>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</si>
  <si>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</si>
  <si>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</si>
  <si>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</si>
  <si>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</si>
  <si>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</si>
  <si>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</si>
  <si>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</si>
  <si>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</si>
  <si>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</si>
  <si>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</si>
  <si>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</si>
  <si>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</si>
  <si>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</si>
  <si>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</si>
  <si>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</si>
  <si>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</si>
  <si>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</si>
  <si>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</si>
  <si>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</si>
  <si>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</si>
  <si>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</si>
  <si>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</si>
  <si>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</si>
  <si>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</si>
  <si>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</si>
  <si>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</si>
  <si>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</si>
  <si>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</si>
  <si>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</si>
  <si>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</si>
  <si>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</si>
  <si>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</si>
  <si>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</si>
  <si>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</si>
  <si>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</si>
  <si>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</si>
  <si>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</si>
  <si>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</si>
  <si>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</si>
  <si>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</si>
  <si>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</si>
  <si>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</si>
  <si>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</si>
  <si>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</si>
  <si>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</si>
  <si>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</si>
  <si>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</si>
  <si>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</si>
  <si>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</si>
  <si>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</si>
  <si>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</si>
  <si>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</si>
  <si>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</si>
  <si>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</si>
  <si>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</si>
  <si>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</si>
  <si>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</si>
  <si>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</si>
  <si>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</si>
  <si>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</si>
  <si>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</si>
  <si>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</si>
  <si>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</si>
  <si>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</si>
  <si>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</si>
  <si>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</si>
  <si>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</si>
  <si>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</si>
  <si>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</si>
  <si>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</si>
  <si>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</si>
  <si>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</si>
  <si>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</si>
  <si>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</si>
  <si>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</si>
  <si>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</si>
  <si>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</si>
  <si>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</si>
  <si>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</si>
  <si>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</si>
  <si>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</si>
  <si>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</si>
  <si>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</si>
  <si>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</si>
  <si>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</si>
  <si>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</si>
  <si>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</si>
  <si>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</si>
  <si>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</si>
  <si>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</si>
  <si>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</si>
  <si>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</si>
  <si>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</si>
  <si>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</si>
  <si>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</si>
  <si>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</si>
  <si>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</si>
  <si>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</si>
  <si>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</si>
  <si>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</si>
  <si>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</si>
  <si>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</si>
  <si>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</si>
  <si>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</si>
  <si>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</si>
  <si>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</si>
  <si>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</si>
  <si>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</si>
  <si>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</si>
  <si>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</si>
  <si>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</si>
  <si>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</si>
  <si>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</si>
  <si>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</si>
  <si>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</si>
  <si>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</si>
  <si>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</si>
  <si>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</si>
  <si>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</si>
  <si>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</si>
  <si>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</si>
  <si>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</si>
  <si>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</si>
  <si>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</si>
  <si>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</si>
  <si>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</si>
  <si>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</si>
  <si>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</si>
  <si>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</si>
  <si>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</si>
  <si>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</si>
  <si>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</si>
  <si>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</si>
  <si>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</si>
  <si>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</si>
  <si>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</si>
  <si>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</si>
  <si>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</si>
  <si>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</si>
  <si>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</si>
  <si>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</si>
  <si>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</si>
  <si>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</si>
  <si>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</si>
  <si>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</si>
  <si>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</si>
  <si>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</si>
  <si>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</si>
  <si>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</si>
  <si>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</si>
  <si>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</si>
  <si>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</si>
  <si>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</si>
  <si>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</si>
  <si>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</si>
  <si>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</si>
  <si>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</si>
  <si>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</si>
  <si>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</si>
  <si>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</si>
  <si>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</si>
  <si>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</si>
  <si>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</si>
  <si>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</si>
  <si>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</si>
  <si>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</si>
  <si>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</si>
  <si>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</si>
  <si>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</si>
  <si>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</si>
  <si>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</si>
  <si>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</si>
  <si>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</si>
  <si>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</si>
  <si>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</si>
  <si>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</si>
  <si>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</si>
  <si>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</si>
  <si>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</si>
  <si>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</si>
  <si>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</si>
  <si>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</si>
  <si>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</si>
  <si>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</si>
  <si>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</si>
  <si>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</si>
  <si>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</si>
  <si>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</si>
  <si>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</si>
  <si>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</si>
  <si>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</si>
  <si>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</si>
  <si>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</si>
  <si>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</si>
  <si>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</si>
  <si>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</si>
  <si>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</si>
  <si>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</si>
  <si>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</si>
  <si>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</si>
  <si>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</si>
  <si>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</si>
  <si>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</si>
  <si>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</si>
  <si>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</si>
  <si>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</si>
  <si>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</si>
  <si>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</si>
  <si>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</si>
  <si>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</si>
  <si>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</si>
  <si>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</si>
  <si>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</si>
  <si>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</si>
  <si>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</si>
  <si>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</si>
  <si>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</si>
  <si>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</si>
  <si>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</si>
  <si>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</si>
  <si>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</si>
  <si>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</si>
  <si>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</si>
  <si>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</si>
  <si>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</si>
  <si>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</si>
  <si>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</si>
  <si>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</si>
  <si>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</si>
  <si>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</si>
  <si>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</si>
  <si>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</si>
  <si>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</si>
  <si>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</si>
  <si>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</si>
  <si>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</si>
  <si>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</si>
  <si>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</si>
  <si>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</si>
  <si>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</si>
  <si>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</si>
  <si>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</si>
  <si>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</si>
  <si>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</si>
  <si>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</si>
  <si>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</si>
  <si>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</si>
  <si>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</si>
  <si>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</si>
  <si>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</si>
  <si>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</si>
  <si>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</si>
  <si>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</si>
  <si>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</si>
  <si>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</si>
  <si>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</si>
  <si>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</si>
  <si>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</si>
  <si>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</si>
  <si>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</si>
  <si>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</si>
  <si>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</si>
  <si>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</si>
  <si>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</si>
  <si>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</si>
  <si>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</si>
  <si>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</si>
  <si>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</si>
  <si>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</si>
  <si>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</si>
  <si>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</si>
  <si>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</si>
  <si>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</si>
  <si>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</si>
  <si>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</si>
  <si>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</si>
  <si>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</si>
  <si>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</si>
  <si>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</si>
  <si>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</si>
  <si>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</si>
  <si>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</si>
  <si>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</si>
  <si>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</si>
  <si>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</si>
  <si>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</si>
  <si>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</si>
  <si>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</si>
  <si>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</si>
  <si>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</si>
  <si>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</si>
  <si>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</si>
  <si>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</si>
  <si>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</si>
  <si>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</si>
  <si>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</si>
  <si>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</si>
  <si>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</si>
  <si>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</si>
  <si>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</si>
  <si>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</si>
  <si>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</si>
  <si>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</si>
  <si>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</si>
  <si>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</si>
  <si>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</si>
  <si>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</si>
  <si>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</si>
  <si>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</si>
  <si>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</si>
  <si>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</si>
  <si>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</si>
  <si>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</si>
  <si>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</si>
  <si>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</si>
  <si>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</si>
  <si>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</si>
  <si>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</si>
  <si>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</si>
  <si>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</si>
  <si>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</si>
  <si>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</si>
  <si>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</si>
  <si>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</si>
  <si>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</si>
  <si>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</si>
  <si>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</si>
  <si>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</si>
  <si>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</si>
  <si>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</si>
  <si>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</si>
  <si>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</si>
  <si>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</si>
  <si>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</si>
  <si>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</si>
  <si>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</si>
  <si>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</si>
  <si>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</si>
  <si>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</si>
  <si>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</si>
  <si>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</si>
  <si>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</si>
  <si>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</si>
  <si>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</si>
  <si>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</si>
  <si>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</si>
  <si>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</si>
  <si>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</si>
  <si>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</si>
  <si>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</si>
  <si>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</si>
  <si>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</si>
  <si>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</si>
  <si>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</si>
  <si>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</si>
  <si>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</si>
  <si>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</si>
  <si>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</si>
  <si>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</si>
  <si>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</si>
  <si>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</si>
  <si>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</si>
  <si>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</si>
  <si>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</si>
  <si>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</si>
  <si>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</si>
  <si>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</si>
  <si>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</si>
  <si>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</si>
  <si>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</si>
  <si>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</si>
  <si>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</si>
  <si>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</si>
  <si>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</si>
  <si>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</si>
  <si>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</si>
  <si>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</si>
  <si>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</si>
  <si>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</si>
  <si>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</si>
  <si>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</si>
  <si>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</si>
  <si>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</si>
  <si>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</si>
  <si>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</si>
  <si>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</si>
  <si>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</si>
  <si>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</si>
  <si>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</si>
  <si>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</si>
  <si>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</si>
  <si>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</si>
  <si>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</si>
  <si>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</si>
  <si>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</si>
  <si>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</si>
  <si>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</si>
  <si>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</si>
  <si>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</si>
  <si>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</si>
  <si>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</si>
  <si>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</si>
  <si>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</si>
  <si>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</si>
  <si>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</si>
  <si>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</si>
  <si>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</si>
  <si>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</si>
  <si>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</si>
  <si>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</si>
  <si>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</si>
  <si>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</si>
  <si>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</si>
  <si>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</si>
  <si>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</si>
  <si>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</si>
  <si>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</si>
  <si>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</si>
  <si>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</si>
  <si>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</si>
  <si>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</si>
  <si>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</si>
  <si>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</si>
  <si>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</si>
  <si>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</si>
  <si>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</si>
  <si>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</si>
  <si>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</si>
  <si>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</si>
  <si>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</si>
  <si>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</si>
  <si>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</si>
  <si>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</si>
  <si>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</si>
  <si>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</si>
  <si>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</si>
  <si>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</si>
  <si>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</si>
  <si>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</si>
  <si>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</si>
  <si>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</si>
  <si>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</si>
  <si>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</si>
  <si>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</si>
  <si>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</si>
  <si>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</si>
  <si>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</si>
  <si>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</si>
  <si>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</si>
  <si>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</si>
  <si>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</si>
  <si>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</si>
  <si>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</si>
  <si>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</si>
  <si>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</si>
  <si>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</si>
  <si>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</si>
  <si>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</si>
  <si>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</si>
  <si>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</si>
  <si>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</si>
  <si>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</si>
  <si>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</si>
  <si>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</si>
  <si>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</si>
  <si>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</si>
  <si>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</si>
  <si>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</si>
  <si>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</si>
  <si>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</si>
  <si>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</si>
  <si>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</si>
  <si>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</si>
  <si>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</si>
  <si>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</si>
  <si>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</si>
  <si>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</si>
  <si>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</si>
  <si>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</si>
  <si>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</si>
  <si>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</si>
  <si>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</si>
  <si>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</si>
  <si>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</si>
  <si>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</si>
  <si>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</si>
  <si>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</si>
  <si>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</si>
  <si>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</si>
  <si>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</si>
  <si>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</si>
  <si>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</si>
  <si>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</si>
  <si>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</si>
  <si>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</si>
  <si>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</si>
  <si>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</si>
  <si>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</si>
  <si>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</si>
  <si>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</si>
  <si>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</si>
  <si>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</si>
  <si>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</si>
  <si>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</si>
  <si>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</si>
  <si>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</si>
  <si>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</si>
  <si>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</si>
  <si>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</si>
  <si>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</si>
  <si>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</si>
  <si>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</si>
  <si>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</si>
  <si>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</si>
  <si>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</si>
  <si>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</si>
  <si>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</si>
  <si>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</si>
  <si>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</si>
  <si>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</si>
  <si>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</si>
  <si>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</si>
  <si>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</si>
  <si>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</si>
  <si>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</si>
  <si>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</si>
  <si>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</si>
  <si>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</si>
  <si>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</si>
  <si>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</si>
  <si>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</si>
  <si>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</si>
  <si>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</si>
  <si>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</si>
  <si>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</si>
  <si>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</si>
  <si>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</si>
  <si>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</si>
  <si>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</si>
  <si>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</si>
  <si>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</si>
  <si>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</si>
  <si>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</si>
  <si>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</si>
  <si>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</si>
  <si>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</si>
  <si>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</si>
  <si>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</si>
  <si>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</si>
  <si>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</si>
  <si>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</si>
  <si>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</si>
  <si>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</si>
  <si>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</si>
  <si>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</si>
  <si>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</si>
  <si>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</si>
  <si>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</si>
  <si>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</si>
  <si>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</si>
  <si>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</si>
  <si>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</si>
  <si>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</si>
  <si>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</si>
  <si>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</si>
  <si>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</si>
  <si>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</si>
  <si>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</si>
  <si>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</si>
  <si>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</si>
  <si>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</si>
  <si>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</si>
  <si>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</si>
  <si>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</si>
  <si>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</si>
  <si>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</si>
  <si>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</si>
  <si>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</si>
  <si>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</si>
  <si>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</si>
  <si>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</si>
  <si>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</si>
  <si>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</si>
  <si>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</si>
  <si>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</si>
  <si>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</si>
  <si>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</si>
  <si>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</si>
  <si>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</si>
  <si>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</si>
  <si>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</si>
  <si>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</si>
  <si>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</si>
  <si>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</si>
  <si>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</si>
  <si>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</si>
  <si>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</si>
  <si>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</si>
  <si>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</si>
  <si>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</si>
  <si>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</si>
  <si>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</si>
  <si>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</si>
  <si>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</si>
  <si>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</si>
  <si>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</si>
  <si>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</si>
  <si>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</si>
  <si>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</si>
  <si>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</si>
  <si>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</si>
  <si>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</si>
  <si>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</si>
  <si>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</si>
  <si>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</si>
  <si>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</si>
  <si>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</si>
  <si>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</si>
  <si>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</si>
  <si>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</si>
  <si>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</si>
  <si>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</si>
  <si>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</si>
  <si>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</si>
  <si>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</si>
  <si>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</si>
  <si>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</si>
  <si>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</si>
  <si>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</si>
  <si>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</si>
  <si>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</si>
  <si>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</si>
  <si>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</si>
  <si>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</si>
  <si>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</si>
  <si>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</si>
  <si>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</si>
  <si>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</si>
  <si>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</si>
  <si>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</si>
  <si>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</si>
  <si>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</si>
  <si>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</si>
  <si>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</si>
  <si>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</si>
  <si>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</si>
  <si>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</si>
  <si>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</si>
  <si>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</si>
  <si>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</si>
  <si>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</si>
  <si>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</si>
  <si>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</si>
  <si>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</si>
  <si>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</si>
  <si>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</si>
  <si>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</si>
  <si>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</si>
  <si>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</si>
  <si>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</si>
  <si>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</si>
  <si>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</si>
  <si>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</si>
  <si>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</si>
  <si>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</si>
  <si>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</si>
  <si>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</si>
  <si>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</si>
  <si>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</si>
  <si>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</si>
  <si>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</si>
  <si>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</si>
  <si>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</si>
  <si>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</si>
  <si>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</si>
  <si>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</si>
  <si>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</si>
  <si>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</si>
  <si>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</si>
  <si>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</si>
  <si>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</si>
  <si>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</si>
  <si>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</si>
  <si>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</si>
  <si>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</si>
  <si>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</si>
  <si>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</si>
  <si>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</si>
  <si>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</si>
  <si>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</si>
  <si>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</si>
  <si>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</si>
  <si>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</si>
  <si>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</si>
  <si>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</si>
  <si>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</si>
  <si>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</si>
  <si>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</si>
  <si>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</si>
  <si>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</si>
  <si>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</si>
  <si>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</si>
  <si>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</si>
  <si>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</si>
  <si>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</si>
  <si>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</si>
  <si>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</si>
  <si>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</si>
  <si>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</si>
  <si>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</si>
  <si>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</si>
  <si>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</si>
  <si>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</si>
  <si>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</si>
  <si>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</si>
  <si>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</si>
  <si>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</si>
  <si>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</si>
  <si>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</si>
  <si>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</si>
  <si>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</si>
  <si>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</si>
  <si>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</si>
  <si>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</si>
  <si>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</si>
  <si>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</si>
  <si>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</si>
  <si>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</si>
  <si>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</si>
  <si>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</si>
  <si>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</si>
  <si>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</si>
  <si>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</si>
  <si>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</si>
  <si>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</si>
  <si>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</si>
  <si>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</si>
  <si>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</si>
  <si>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</si>
  <si>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</si>
  <si>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</si>
  <si>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</si>
  <si>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</si>
  <si>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</si>
  <si>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</si>
  <si>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</si>
  <si>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</si>
  <si>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</si>
  <si>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</si>
  <si>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</si>
  <si>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</si>
  <si>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</si>
  <si>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</si>
  <si>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</si>
  <si>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</si>
  <si>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</si>
  <si>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</si>
  <si>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</si>
  <si>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</si>
  <si>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</si>
  <si>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</si>
  <si>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</si>
  <si>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</si>
  <si>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</si>
  <si>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</si>
  <si>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</si>
  <si>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</si>
  <si>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</si>
  <si>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</si>
  <si>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</si>
  <si>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</si>
  <si>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</si>
  <si>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</si>
  <si>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</si>
  <si>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</si>
  <si>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</si>
  <si>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</si>
  <si>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</si>
  <si>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</si>
  <si>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</si>
  <si>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</si>
  <si>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</si>
  <si>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</si>
  <si>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</si>
  <si>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</si>
  <si>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</si>
  <si>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</si>
  <si>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</si>
  <si>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</si>
  <si>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</si>
  <si>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</si>
  <si>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</si>
  <si>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</si>
  <si>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</si>
  <si>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</si>
  <si>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</si>
  <si>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</si>
  <si>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</si>
  <si>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</si>
  <si>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</si>
  <si>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</si>
  <si>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</si>
  <si>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</si>
  <si>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</si>
  <si>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</si>
  <si>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</si>
  <si>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</si>
  <si>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</si>
  <si>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</si>
  <si>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</si>
  <si>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</si>
  <si>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</si>
  <si>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</si>
  <si>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</si>
  <si>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</si>
  <si>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</si>
  <si>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</si>
  <si>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</si>
  <si>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</si>
  <si>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</si>
  <si>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</si>
  <si>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</si>
  <si>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</si>
  <si>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</si>
  <si>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</si>
  <si>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</si>
  <si>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</si>
  <si>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</si>
  <si>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</si>
  <si>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</si>
  <si>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</si>
  <si>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</si>
  <si>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</si>
  <si>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</si>
  <si>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</si>
  <si>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</si>
  <si>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</si>
  <si>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</si>
  <si>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</si>
  <si>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</si>
  <si>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</si>
  <si>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</si>
  <si>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</si>
  <si>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</si>
  <si>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</si>
  <si>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</si>
  <si>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</si>
  <si>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</si>
  <si>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</si>
  <si>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</si>
  <si>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</si>
  <si>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</si>
  <si>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</si>
  <si>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</si>
  <si>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</si>
  <si>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</si>
  <si>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</si>
  <si>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</si>
  <si>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</si>
  <si>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</si>
  <si>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</si>
  <si>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</si>
  <si>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</si>
  <si>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</si>
  <si>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</si>
  <si>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</si>
  <si>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</si>
  <si>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</si>
  <si>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</si>
  <si>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</si>
  <si>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</si>
  <si>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</si>
  <si>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</si>
  <si>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</si>
  <si>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</si>
  <si>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</si>
  <si>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</si>
  <si>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</si>
  <si>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</si>
  <si>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</si>
  <si>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</si>
  <si>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</si>
  <si>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</si>
  <si>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</si>
  <si>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</si>
  <si>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</si>
  <si>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</si>
  <si>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</si>
  <si>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</si>
  <si>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</si>
  <si>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</si>
  <si>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</si>
  <si>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</si>
  <si>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</si>
  <si>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</si>
  <si>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</si>
  <si>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</si>
  <si>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</si>
  <si>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</si>
  <si>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</si>
  <si>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</si>
  <si>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</si>
  <si>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</si>
  <si>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</si>
  <si>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</si>
  <si>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</si>
  <si>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</si>
  <si>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</si>
  <si>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</si>
  <si>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</si>
  <si>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</si>
  <si>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</si>
  <si>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</si>
  <si>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</si>
  <si>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</si>
  <si>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</si>
  <si>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</si>
  <si>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</si>
  <si>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</si>
  <si>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</si>
  <si>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</si>
  <si>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</si>
  <si>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</si>
  <si>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</si>
  <si>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</si>
  <si>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</si>
  <si>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</si>
  <si>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</si>
  <si>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</si>
  <si>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</si>
  <si>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</si>
  <si>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</si>
  <si>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</si>
  <si>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</si>
  <si>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</si>
  <si>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</si>
  <si>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</si>
  <si>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</si>
  <si>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</si>
  <si>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</si>
  <si>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</si>
  <si>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</si>
  <si>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</si>
  <si>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</si>
  <si>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</si>
  <si>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</si>
  <si>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</si>
  <si>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</si>
  <si>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</si>
  <si>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</si>
  <si>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</si>
  <si>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</si>
  <si>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</si>
  <si>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</si>
  <si>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</si>
  <si>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</si>
  <si>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</si>
  <si>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</si>
  <si>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</si>
  <si>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</si>
  <si>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</si>
  <si>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</si>
  <si>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</si>
  <si>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</si>
  <si>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</si>
  <si>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</si>
  <si>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</si>
  <si>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</si>
  <si>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</si>
  <si>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</si>
  <si>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</si>
  <si>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</si>
  <si>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</si>
  <si>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</si>
  <si>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</si>
  <si>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</si>
  <si>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</si>
  <si>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</si>
  <si>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</si>
  <si>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</si>
  <si>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</si>
  <si>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</si>
  <si>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</si>
  <si>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</si>
  <si>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</si>
  <si>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</si>
  <si>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</si>
  <si>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</si>
  <si>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</si>
  <si>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</si>
  <si>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</si>
  <si>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</si>
  <si>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</si>
  <si>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</si>
  <si>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</si>
  <si>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</si>
  <si>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</si>
  <si>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</si>
  <si>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</si>
  <si>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</si>
  <si>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</si>
  <si>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</si>
  <si>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</si>
  <si>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</si>
  <si>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</si>
  <si>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</si>
  <si>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</si>
  <si>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</si>
  <si>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</si>
  <si>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</si>
  <si>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</si>
  <si>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</si>
  <si>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</si>
  <si>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</si>
  <si>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</si>
  <si>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</si>
  <si>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</si>
  <si>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</si>
  <si>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</si>
  <si>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</si>
  <si>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</si>
  <si>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</si>
  <si>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</si>
  <si>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</si>
  <si>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</si>
  <si>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</si>
  <si>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</si>
  <si>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</si>
  <si>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</si>
  <si>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</si>
  <si>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</si>
  <si>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</si>
  <si>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</si>
  <si>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</si>
  <si>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</si>
  <si>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</si>
  <si>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</si>
  <si>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</si>
  <si>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</si>
  <si>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</si>
  <si>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</si>
  <si>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</si>
  <si>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</si>
  <si>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</si>
  <si>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</si>
  <si>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</si>
  <si>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</si>
  <si>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</si>
  <si>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</si>
  <si>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</si>
  <si>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</si>
  <si>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</si>
  <si>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</si>
  <si>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</si>
  <si>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</si>
  <si>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</si>
  <si>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</si>
  <si>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</si>
  <si>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</si>
  <si>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</si>
  <si>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</si>
  <si>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</si>
  <si>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</si>
  <si>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</si>
  <si>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</si>
  <si>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</si>
  <si>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</si>
  <si>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</si>
  <si>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</si>
  <si>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</si>
  <si>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</si>
  <si>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</si>
  <si>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</si>
  <si>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</si>
  <si>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</si>
  <si>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</si>
  <si>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</si>
  <si>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</si>
  <si>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</si>
  <si>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</si>
  <si>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</si>
  <si>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</si>
  <si>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</si>
  <si>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</si>
  <si>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</si>
  <si>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</si>
  <si>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</si>
  <si>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</si>
  <si>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</si>
  <si>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</si>
  <si>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</si>
  <si>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</si>
  <si>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</si>
  <si>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</si>
  <si>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</si>
  <si>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</si>
  <si>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</si>
  <si>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</si>
  <si>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</si>
  <si>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</si>
  <si>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</si>
  <si>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</si>
  <si>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</si>
  <si>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</si>
  <si>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</si>
  <si>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</si>
  <si>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</si>
  <si>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</si>
  <si>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</si>
  <si>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</si>
  <si>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</si>
  <si>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</si>
  <si>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</si>
  <si>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</si>
  <si>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</si>
  <si>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</si>
  <si>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</si>
  <si>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</si>
  <si>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</si>
  <si>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</si>
  <si>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</si>
  <si>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</si>
  <si>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</si>
  <si>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</si>
  <si>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</si>
  <si>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</si>
  <si>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</si>
  <si>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</si>
  <si>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</si>
  <si>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</si>
  <si>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</si>
  <si>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</si>
  <si>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</si>
  <si>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</si>
  <si>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</si>
  <si>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</si>
  <si>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</si>
  <si>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</si>
  <si>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</si>
  <si>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</si>
  <si>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</si>
  <si>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</si>
  <si>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</si>
  <si>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</si>
  <si>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</si>
  <si>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</si>
  <si>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</si>
  <si>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</si>
  <si>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</si>
  <si>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</si>
  <si>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</si>
  <si>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</si>
  <si>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</si>
  <si>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</si>
  <si>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</si>
  <si>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</si>
  <si>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</si>
  <si>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</si>
  <si>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</si>
  <si>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</si>
  <si>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</si>
  <si>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</si>
  <si>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</si>
  <si>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</si>
  <si>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</si>
  <si>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</si>
  <si>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</si>
  <si>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</si>
  <si>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</si>
  <si>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</si>
  <si>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</si>
  <si>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</si>
  <si>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</si>
  <si>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</si>
  <si>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</si>
  <si>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</si>
  <si>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</si>
  <si>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</si>
  <si>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</si>
  <si>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</si>
  <si>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</si>
  <si>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</si>
  <si>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</si>
  <si>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</si>
  <si>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</si>
  <si>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</si>
  <si>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</si>
  <si>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</si>
  <si>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</si>
  <si>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</si>
  <si>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</si>
  <si>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</si>
  <si>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</si>
  <si>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</si>
  <si>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</si>
  <si>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</si>
  <si>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</si>
  <si>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</si>
  <si>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</si>
  <si>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</si>
  <si>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</si>
  <si>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</si>
  <si>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</si>
  <si>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</si>
  <si>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</si>
  <si>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</si>
  <si>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</si>
  <si>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</si>
  <si>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</si>
  <si>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</si>
  <si>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</si>
  <si>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</si>
  <si>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</si>
  <si>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</si>
  <si>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</si>
  <si>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</si>
  <si>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</si>
  <si>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</si>
  <si>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</si>
  <si>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</si>
  <si>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</si>
  <si>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</si>
  <si>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</si>
  <si>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</si>
  <si>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</si>
  <si>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</si>
  <si>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</si>
  <si>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</si>
  <si>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</si>
  <si>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</si>
  <si>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</si>
  <si>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</si>
  <si>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</si>
  <si>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</si>
  <si>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</si>
  <si>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</si>
  <si>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</si>
  <si>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</si>
  <si>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</si>
  <si>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</si>
  <si>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</si>
  <si>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</si>
  <si>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</si>
  <si>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</si>
  <si>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</si>
  <si>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</si>
  <si>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</si>
  <si>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</si>
  <si>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</si>
  <si>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</si>
  <si>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</si>
  <si>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</si>
  <si>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</si>
  <si>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</si>
  <si>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</si>
  <si>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</si>
  <si>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</si>
  <si>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</si>
  <si>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</si>
  <si>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</si>
  <si>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</si>
  <si>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</si>
  <si>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</si>
  <si>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</si>
  <si>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</si>
  <si>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</si>
  <si>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</si>
  <si>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</si>
  <si>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</si>
  <si>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</si>
  <si>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</si>
  <si>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</si>
  <si>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</si>
  <si>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</si>
  <si>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</si>
  <si>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</si>
  <si>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</si>
  <si>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</si>
  <si>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</si>
  <si>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</si>
  <si>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</si>
  <si>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</si>
  <si>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</si>
  <si>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</si>
  <si>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</si>
  <si>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</si>
  <si>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</si>
  <si>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</si>
  <si>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</si>
  <si>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</si>
  <si>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</si>
  <si>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</si>
  <si>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</si>
  <si>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</si>
  <si>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</si>
  <si>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</si>
  <si>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</si>
  <si>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</si>
  <si>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</si>
  <si>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</si>
  <si>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</si>
  <si>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</si>
  <si>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</si>
  <si>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</si>
  <si>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</si>
  <si>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</si>
  <si>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</si>
  <si>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</si>
  <si>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</si>
  <si>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</si>
  <si>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</si>
  <si>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</si>
  <si>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</si>
  <si>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</si>
  <si>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</si>
  <si>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</si>
  <si>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</si>
  <si>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</si>
  <si>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</si>
  <si>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</si>
  <si>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</si>
  <si>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</si>
  <si>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</si>
  <si>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</si>
  <si>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</si>
  <si>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</si>
  <si>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</si>
  <si>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</si>
  <si>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</si>
  <si>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</si>
  <si>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</si>
  <si>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</si>
  <si>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</si>
  <si>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</si>
  <si>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</si>
  <si>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</si>
  <si>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</si>
  <si>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</si>
  <si>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</si>
  <si>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</si>
  <si>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</si>
  <si>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</si>
  <si>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</si>
  <si>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</si>
  <si>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</si>
  <si>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</si>
  <si>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</si>
  <si>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</si>
  <si>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</si>
  <si>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</si>
  <si>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</si>
  <si>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</si>
  <si>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</si>
  <si>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</si>
  <si>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</si>
  <si>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</si>
  <si>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</si>
  <si>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</si>
  <si>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</si>
  <si>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</si>
  <si>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</si>
  <si>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</si>
  <si>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</si>
  <si>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</si>
  <si>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</si>
  <si>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</si>
  <si>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</si>
  <si>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</si>
  <si>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</si>
  <si>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</si>
  <si>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</si>
  <si>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</si>
  <si>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</si>
  <si>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</si>
  <si>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</si>
  <si>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</si>
  <si>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</si>
  <si>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</si>
  <si>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</si>
  <si>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</si>
  <si>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</si>
  <si>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</si>
  <si>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</si>
  <si>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</si>
  <si>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</si>
  <si>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</si>
  <si>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</si>
  <si>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</si>
  <si>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</si>
  <si>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</si>
  <si>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</si>
  <si>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</si>
  <si>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</si>
  <si>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</si>
  <si>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</si>
  <si>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</si>
  <si>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</si>
  <si>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</si>
  <si>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</si>
  <si>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</si>
  <si>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</si>
  <si>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</si>
  <si>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</si>
  <si>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</si>
  <si>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</si>
  <si>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</si>
  <si>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</si>
  <si>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</si>
  <si>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</si>
  <si>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</si>
  <si>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</si>
  <si>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</si>
  <si>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</si>
  <si>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</si>
  <si>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</si>
  <si>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</si>
  <si>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</si>
  <si>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</si>
  <si>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</si>
  <si>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</si>
  <si>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</si>
  <si>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</si>
  <si>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</si>
  <si>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</si>
  <si>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</si>
  <si>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</si>
  <si>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</si>
  <si>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</si>
  <si>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</si>
  <si>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</si>
  <si>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</si>
  <si>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</si>
  <si>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</si>
  <si>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</si>
  <si>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</si>
  <si>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</si>
  <si>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</si>
  <si>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</si>
  <si>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</si>
  <si>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</si>
  <si>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</si>
  <si>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</si>
  <si>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</si>
  <si>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</si>
  <si>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</si>
  <si>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</si>
  <si>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</si>
  <si>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</si>
  <si>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</si>
  <si>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</si>
  <si>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</si>
  <si>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</si>
  <si>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</si>
  <si>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</si>
  <si>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</si>
  <si>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</si>
  <si>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</si>
  <si>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</si>
  <si>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</si>
  <si>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</si>
  <si>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</si>
  <si>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</si>
  <si>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</si>
  <si>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</si>
  <si>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</si>
  <si>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</si>
  <si>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</si>
  <si>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</si>
  <si>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</si>
  <si>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</si>
  <si>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</si>
  <si>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</si>
  <si>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</si>
  <si>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</si>
  <si>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</si>
  <si>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</si>
  <si>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</si>
  <si>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</si>
  <si>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</si>
  <si>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</si>
  <si>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</si>
  <si>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</si>
  <si>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</si>
  <si>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</si>
  <si>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</si>
  <si>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</si>
  <si>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</si>
  <si>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</si>
  <si>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</si>
  <si>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</si>
  <si>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</si>
  <si>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</si>
  <si>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</si>
  <si>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</si>
  <si>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</si>
  <si>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</si>
  <si>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</si>
  <si>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</si>
  <si>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</si>
  <si>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</si>
  <si>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</si>
  <si>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</si>
  <si>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</si>
  <si>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</si>
  <si>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</si>
  <si>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</si>
  <si>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</si>
  <si>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</si>
  <si>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</si>
  <si>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</si>
  <si>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</si>
  <si>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</si>
  <si>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</si>
  <si>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</si>
  <si>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</si>
  <si>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</si>
  <si>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</si>
  <si>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</si>
  <si>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</si>
  <si>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</si>
  <si>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</si>
  <si>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</si>
  <si>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</si>
  <si>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</si>
  <si>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</si>
  <si>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</si>
  <si>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</si>
  <si>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</si>
  <si>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</si>
  <si>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</si>
  <si>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</si>
  <si>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</si>
  <si>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</si>
  <si>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</si>
  <si>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</si>
  <si>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</si>
  <si>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</si>
  <si>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</si>
  <si>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</si>
  <si>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</si>
  <si>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</si>
  <si>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</si>
  <si>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</si>
  <si>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</si>
  <si>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</si>
  <si>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</si>
  <si>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</si>
  <si>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</si>
  <si>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</si>
  <si>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</si>
  <si>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</si>
  <si>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</si>
  <si>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</si>
  <si>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</si>
  <si>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</si>
  <si>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</si>
  <si>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</si>
  <si>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</si>
  <si>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</si>
  <si>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</si>
  <si>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</si>
  <si>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</si>
  <si>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</si>
  <si>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</si>
  <si>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</si>
  <si>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</si>
  <si>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</si>
  <si>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</si>
  <si>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</si>
  <si>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</si>
  <si>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</si>
  <si>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</si>
  <si>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</si>
  <si>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</si>
  <si>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</si>
  <si>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</si>
  <si>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</si>
  <si>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</si>
  <si>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</si>
  <si>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</si>
  <si>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</si>
  <si>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</si>
  <si>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</si>
  <si>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</si>
  <si>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</si>
  <si>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</si>
  <si>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</si>
  <si>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</si>
  <si>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</si>
  <si>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</si>
  <si>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</si>
  <si>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</si>
  <si>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</si>
  <si>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</si>
  <si>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</si>
  <si>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</si>
  <si>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</si>
  <si>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</si>
  <si>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</si>
  <si>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</si>
  <si>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</si>
  <si>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</si>
  <si>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</si>
  <si>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</si>
  <si>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</si>
  <si>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</si>
  <si>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</si>
  <si>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</si>
  <si>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</si>
  <si>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</si>
  <si>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</si>
  <si>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</si>
  <si>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</si>
  <si>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</si>
  <si>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</si>
  <si>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</si>
  <si>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</si>
  <si>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</si>
  <si>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</si>
  <si>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</si>
  <si>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</si>
  <si>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</si>
  <si>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</si>
  <si>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</si>
  <si>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</si>
  <si>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</si>
  <si>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</si>
  <si>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</si>
  <si>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</si>
  <si>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</si>
  <si>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</si>
  <si>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</si>
  <si>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</si>
  <si>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</si>
  <si>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</si>
  <si>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</si>
  <si>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</si>
  <si>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</si>
  <si>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</si>
  <si>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</si>
  <si>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</si>
  <si>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</si>
  <si>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</si>
  <si>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</si>
  <si>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</si>
  <si>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</si>
  <si>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</si>
  <si>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</si>
  <si>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</si>
  <si>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</si>
  <si>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</si>
  <si>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</si>
  <si>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</si>
  <si>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</si>
  <si>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</si>
  <si>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</si>
  <si>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</si>
  <si>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</si>
  <si>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</si>
  <si>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</si>
  <si>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</si>
  <si>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</si>
  <si>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</si>
  <si>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</si>
  <si>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</si>
  <si>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</si>
  <si>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</si>
  <si>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</si>
  <si>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</si>
  <si>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</si>
  <si>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</si>
  <si>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</si>
  <si>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</si>
  <si>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</si>
  <si>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</si>
  <si>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</si>
  <si>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</si>
  <si>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</si>
  <si>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</si>
  <si>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</si>
  <si>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</si>
  <si>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</si>
  <si>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</si>
  <si>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</si>
  <si>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</si>
  <si>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</si>
  <si>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</si>
  <si>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</si>
  <si>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</si>
  <si>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</si>
  <si>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</si>
  <si>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</si>
  <si>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</si>
  <si>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</si>
  <si>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</si>
  <si>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</si>
  <si>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</si>
  <si>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</si>
  <si>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</si>
  <si>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</si>
  <si>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</si>
  <si>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</si>
  <si>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</si>
  <si>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</si>
  <si>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</si>
  <si>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</si>
  <si>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</si>
  <si>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</si>
  <si>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</si>
  <si>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</si>
  <si>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</si>
  <si>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</si>
  <si>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</si>
  <si>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</si>
  <si>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</si>
  <si>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</si>
  <si>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</si>
  <si>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</si>
  <si>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</si>
  <si>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</si>
  <si>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</si>
  <si>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</si>
  <si>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</si>
  <si>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</si>
  <si>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</si>
  <si>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</si>
  <si>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</si>
  <si>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</si>
  <si>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</si>
  <si>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</si>
  <si>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</si>
  <si>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</si>
  <si>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</si>
  <si>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</si>
  <si>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</si>
  <si>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</si>
  <si>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</si>
  <si>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</si>
  <si>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</si>
  <si>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</si>
  <si>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</si>
  <si>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</si>
  <si>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</si>
  <si>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</si>
  <si>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</si>
  <si>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</si>
  <si>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</si>
  <si>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</si>
  <si>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</si>
  <si>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</si>
  <si>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</si>
  <si>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</si>
  <si>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</si>
  <si>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</si>
  <si>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</si>
  <si>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</si>
  <si>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</si>
  <si>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</si>
  <si>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</si>
  <si>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</si>
  <si>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</si>
  <si>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</si>
  <si>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</si>
  <si>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</si>
  <si>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</si>
  <si>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</si>
  <si>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</si>
  <si>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</si>
  <si>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</si>
  <si>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</si>
  <si>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</si>
  <si>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</si>
  <si>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</si>
  <si>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</si>
  <si>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</si>
  <si>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</si>
  <si>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</si>
  <si>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</si>
  <si>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</si>
  <si>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</si>
  <si>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</si>
  <si>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</si>
  <si>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</si>
  <si>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</si>
  <si>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</si>
  <si>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</si>
  <si>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</si>
  <si>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</si>
  <si>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</si>
  <si>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</si>
  <si>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</si>
  <si>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</si>
  <si>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</si>
  <si>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</si>
  <si>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</si>
  <si>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</si>
  <si>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</si>
  <si>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</si>
  <si>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</si>
  <si>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</si>
  <si>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</si>
  <si>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</si>
  <si>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</si>
  <si>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</si>
  <si>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</si>
  <si>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</si>
  <si>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</si>
  <si>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</si>
  <si>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</si>
  <si>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</si>
  <si>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</si>
  <si>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</si>
  <si>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</si>
  <si>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</si>
  <si>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</si>
  <si>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</si>
  <si>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</si>
  <si>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</si>
  <si>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</si>
  <si>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</si>
  <si>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</si>
  <si>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</si>
  <si>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</si>
  <si>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</si>
  <si>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</si>
  <si>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</si>
  <si>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</si>
  <si>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</si>
  <si>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</si>
  <si>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</si>
  <si>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</si>
  <si>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</si>
  <si>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</si>
  <si>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</si>
  <si>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</si>
  <si>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</si>
  <si>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</si>
  <si>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</si>
  <si>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</si>
  <si>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</si>
  <si>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</si>
  <si>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</si>
  <si>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</si>
  <si>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</si>
  <si>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</si>
  <si>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</si>
  <si>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</si>
  <si>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</si>
  <si>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</si>
  <si>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</si>
  <si>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</si>
  <si>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</si>
  <si>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</si>
  <si>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</si>
  <si>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</si>
  <si>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</si>
  <si>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</si>
  <si>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</si>
  <si>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</si>
  <si>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</si>
  <si>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</si>
  <si>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</si>
  <si>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</si>
  <si>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</si>
  <si>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</si>
  <si>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</si>
  <si>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</si>
  <si>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</si>
  <si>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</si>
  <si>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</si>
  <si>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</si>
  <si>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</si>
  <si>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</si>
  <si>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</si>
  <si>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</si>
  <si>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</si>
  <si>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</si>
  <si>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</si>
  <si>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</si>
  <si>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</si>
  <si>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</si>
  <si>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</si>
  <si>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</si>
  <si>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</si>
  <si>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</si>
  <si>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</si>
  <si>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</si>
  <si>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</si>
  <si>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</si>
  <si>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</si>
  <si>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</si>
  <si>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</si>
  <si>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</si>
  <si>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</si>
  <si>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</si>
  <si>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</si>
  <si>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</si>
  <si>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</si>
  <si>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</si>
  <si>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</si>
  <si>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</si>
  <si>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</si>
  <si>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</si>
  <si>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</si>
  <si>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</si>
  <si>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</si>
  <si>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</si>
  <si>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</si>
  <si>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</si>
  <si>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</si>
  <si>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</si>
  <si>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</si>
  <si>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</si>
  <si>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</si>
  <si>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</si>
  <si>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</si>
  <si>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</si>
  <si>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</si>
  <si>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</si>
  <si>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</si>
  <si>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</si>
  <si>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</si>
  <si>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</si>
  <si>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</si>
  <si>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</si>
  <si>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</si>
  <si>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</si>
  <si>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</si>
  <si>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</si>
  <si>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</si>
  <si>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</si>
  <si>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</si>
  <si>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</si>
  <si>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</si>
  <si>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</si>
  <si>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</si>
  <si>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</si>
  <si>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</si>
  <si>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</si>
  <si>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</si>
  <si>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</si>
  <si>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</si>
  <si>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</si>
  <si>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</si>
  <si>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</si>
  <si>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</si>
  <si>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</si>
  <si>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</si>
  <si>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</si>
  <si>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</si>
  <si>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</si>
  <si>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</si>
  <si>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</si>
  <si>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</si>
  <si>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</si>
  <si>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</si>
  <si>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</si>
  <si>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</si>
  <si>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</si>
  <si>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</si>
  <si>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</si>
  <si>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</si>
  <si>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</si>
  <si>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</si>
  <si>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</si>
  <si>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</si>
  <si>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</si>
  <si>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</si>
  <si>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</si>
  <si>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</si>
  <si>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</si>
  <si>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</si>
  <si>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</si>
  <si>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</si>
  <si>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</si>
  <si>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</si>
  <si>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</si>
  <si>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</si>
  <si>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</si>
  <si>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</si>
  <si>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</si>
  <si>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</si>
  <si>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</si>
  <si>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</si>
  <si>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</si>
  <si>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</si>
  <si>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</si>
  <si>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</si>
  <si>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</si>
  <si>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</si>
  <si>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</si>
  <si>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</si>
  <si>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</si>
  <si>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</si>
  <si>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</si>
  <si>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</si>
  <si>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</si>
  <si>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</si>
  <si>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</si>
  <si>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</si>
  <si>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</si>
  <si>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</si>
  <si>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</si>
  <si>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</si>
  <si>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</si>
  <si>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</si>
  <si>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</si>
  <si>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</si>
  <si>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</si>
  <si>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</si>
  <si>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</si>
  <si>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</si>
  <si>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</si>
  <si>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</si>
  <si>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</si>
  <si>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</si>
  <si>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</si>
  <si>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</si>
  <si>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</si>
  <si>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</si>
  <si>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</si>
  <si>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</si>
  <si>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</si>
  <si>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</si>
  <si>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</si>
  <si>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</si>
  <si>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</si>
  <si>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</si>
  <si>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</si>
  <si>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</si>
  <si>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</si>
  <si>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</si>
  <si>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</si>
  <si>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</si>
  <si>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</si>
  <si>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</si>
  <si>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</si>
  <si>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</si>
  <si>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</si>
  <si>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</si>
  <si>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</si>
  <si>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</si>
  <si>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</si>
  <si>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</si>
  <si>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</si>
  <si>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</si>
  <si>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</si>
  <si>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</si>
  <si>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</si>
  <si>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</si>
  <si>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</si>
  <si>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</si>
  <si>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</si>
  <si>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</si>
  <si>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</si>
  <si>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</si>
  <si>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</si>
  <si>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</si>
  <si>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</si>
  <si>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</si>
  <si>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</si>
  <si>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</si>
  <si>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</si>
  <si>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</si>
  <si>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</si>
  <si>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</si>
  <si>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</si>
  <si>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</si>
  <si>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</si>
  <si>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</si>
  <si>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</si>
  <si>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</si>
  <si>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</si>
  <si>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</si>
  <si>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</si>
  <si>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</si>
  <si>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</si>
  <si>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</si>
  <si>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</si>
  <si>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</si>
  <si>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</si>
  <si>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</si>
  <si>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</si>
  <si>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</si>
  <si>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</si>
  <si>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</si>
  <si>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</si>
  <si>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</si>
  <si>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</si>
  <si>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</si>
  <si>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</si>
  <si>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</si>
  <si>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</si>
  <si>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</si>
  <si>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</si>
  <si>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</si>
  <si>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</si>
  <si>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</si>
  <si>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</si>
  <si>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</si>
  <si>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</si>
  <si>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</si>
  <si>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</si>
  <si>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</si>
  <si>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</si>
  <si>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</si>
  <si>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</si>
  <si>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</si>
  <si>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</si>
  <si>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</si>
  <si>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</si>
  <si>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</si>
  <si>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</si>
  <si>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</si>
  <si>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</si>
  <si>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</si>
  <si>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</si>
  <si>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</si>
  <si>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</si>
  <si>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</si>
  <si>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</si>
  <si>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</si>
  <si>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</si>
  <si>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</si>
  <si>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</si>
  <si>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</si>
  <si>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</si>
  <si>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</si>
  <si>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</si>
  <si>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</si>
  <si>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</si>
  <si>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</si>
  <si>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</si>
  <si>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</si>
  <si>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</si>
  <si>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</si>
  <si>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</si>
  <si>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</si>
  <si>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</si>
  <si>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</si>
  <si>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</si>
  <si>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</si>
  <si>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</si>
  <si>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</si>
  <si>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</si>
  <si>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</si>
  <si>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</si>
  <si>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</si>
  <si>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</si>
  <si>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</si>
  <si>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</si>
  <si>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</si>
  <si>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</si>
  <si>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</si>
  <si>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</si>
  <si>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</si>
  <si>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</si>
  <si>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</si>
  <si>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</si>
  <si>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</si>
  <si>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</si>
  <si>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</si>
  <si>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</si>
  <si>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</si>
  <si>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</si>
  <si>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</si>
  <si>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</si>
  <si>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</si>
  <si>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</si>
  <si>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</si>
  <si>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</si>
  <si>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</si>
  <si>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</si>
  <si>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</si>
  <si>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</si>
  <si>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</si>
  <si>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</si>
  <si>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</si>
  <si>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</si>
  <si>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</si>
  <si>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</si>
  <si>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</si>
  <si>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</si>
  <si>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</si>
  <si>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</si>
  <si>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</si>
  <si>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</si>
  <si>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</si>
  <si>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</si>
  <si>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</si>
  <si>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</si>
  <si>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</si>
  <si>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</si>
  <si>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</si>
  <si>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</si>
  <si>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</si>
  <si>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</si>
  <si>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</si>
  <si>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</si>
  <si>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</si>
  <si>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</si>
  <si>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</si>
  <si>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</si>
  <si>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</si>
  <si>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</si>
  <si>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</si>
  <si>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</si>
  <si>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</si>
  <si>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</si>
  <si>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</si>
  <si>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</si>
  <si>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</si>
  <si>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</si>
  <si>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</si>
  <si>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</si>
  <si>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</si>
  <si>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</si>
  <si>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</si>
  <si>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</si>
  <si>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</si>
  <si>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</si>
  <si>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</si>
  <si>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</si>
  <si>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</si>
  <si>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</si>
  <si>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</si>
  <si>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</si>
  <si>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</si>
  <si>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</si>
  <si>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</si>
  <si>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</si>
  <si>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</si>
  <si>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</si>
  <si>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</si>
  <si>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</si>
  <si>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</si>
  <si>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</si>
  <si>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</si>
  <si>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</si>
  <si>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</si>
  <si>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</si>
  <si>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</si>
  <si>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</si>
  <si>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</si>
  <si>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</si>
  <si>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</si>
  <si>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</si>
  <si>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</si>
  <si>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</si>
  <si>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</si>
  <si>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</si>
  <si>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</si>
  <si>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</si>
  <si>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</si>
  <si>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</si>
  <si>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</si>
  <si>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</si>
  <si>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</si>
  <si>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</si>
  <si>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</si>
  <si>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</si>
  <si>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</si>
  <si>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</si>
  <si>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</si>
  <si>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</si>
  <si>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</si>
  <si>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</si>
  <si>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</si>
  <si>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</si>
  <si>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</si>
  <si>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</si>
  <si>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</si>
  <si>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</si>
  <si>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</si>
  <si>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</si>
  <si>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</si>
  <si>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</si>
  <si>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</si>
  <si>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</si>
  <si>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</si>
  <si>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</si>
  <si>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</si>
  <si>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</si>
  <si>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</si>
  <si>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</si>
  <si>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</si>
  <si>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</si>
  <si>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</si>
  <si>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</si>
  <si>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</si>
  <si>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</si>
  <si>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</si>
  <si>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</si>
  <si>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</si>
  <si>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</si>
  <si>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</si>
  <si>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</si>
  <si>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</si>
  <si>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</si>
  <si>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</si>
  <si>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</si>
  <si>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</si>
  <si>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</si>
  <si>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</si>
  <si>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</si>
  <si>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</si>
  <si>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</si>
  <si>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</si>
  <si>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</si>
  <si>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</si>
  <si>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</si>
  <si>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</si>
  <si>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</si>
  <si>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</si>
  <si>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</si>
  <si>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</si>
  <si>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</si>
  <si>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</si>
  <si>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</si>
  <si>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</si>
  <si>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</si>
  <si>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</si>
  <si>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</si>
  <si>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</si>
  <si>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</si>
  <si>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</si>
  <si>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</si>
  <si>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</si>
  <si>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</si>
  <si>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</si>
  <si>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</si>
  <si>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</si>
  <si>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</si>
  <si>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</si>
  <si>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</si>
  <si>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</si>
  <si>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</si>
  <si>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</si>
  <si>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</si>
  <si>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</si>
  <si>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</si>
  <si>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</si>
  <si>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</si>
  <si>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</si>
  <si>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</si>
  <si>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</si>
  <si>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</si>
  <si>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</si>
  <si>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</si>
  <si>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</si>
  <si>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</si>
  <si>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</si>
  <si>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</si>
  <si>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</si>
  <si>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</si>
  <si>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</si>
  <si>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</si>
  <si>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</si>
  <si>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</si>
  <si>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</si>
  <si>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</si>
  <si>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</si>
  <si>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</si>
  <si>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</si>
  <si>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</si>
  <si>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</si>
  <si>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</si>
  <si>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</si>
  <si>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</si>
  <si>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</si>
  <si>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</si>
  <si>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</si>
  <si>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</si>
  <si>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</si>
  <si>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</si>
  <si>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</si>
  <si>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</si>
  <si>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</si>
  <si>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</si>
  <si>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</si>
  <si>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</si>
  <si>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</si>
  <si>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</si>
  <si>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</si>
  <si>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</si>
  <si>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</si>
  <si>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</si>
  <si>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</si>
  <si>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</si>
  <si>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</si>
  <si>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</si>
  <si>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</si>
  <si>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</si>
  <si>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</si>
  <si>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</si>
  <si>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</si>
  <si>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</si>
  <si>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</si>
  <si>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</si>
  <si>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</si>
  <si>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</si>
  <si>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</si>
  <si>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</si>
  <si>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</si>
  <si>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</si>
  <si>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</si>
  <si>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</si>
  <si>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</si>
  <si>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</si>
  <si>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</si>
  <si>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</si>
  <si>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</si>
  <si>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</si>
  <si>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</si>
  <si>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</si>
  <si>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</si>
  <si>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</si>
  <si>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</si>
  <si>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</si>
  <si>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</si>
  <si>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</si>
  <si>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</si>
  <si>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</si>
  <si>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</si>
  <si>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</si>
  <si>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</si>
  <si>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</si>
  <si>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</si>
  <si>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</si>
  <si>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</si>
  <si>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</si>
  <si>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</si>
  <si>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</si>
  <si>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</si>
  <si>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</si>
  <si>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</si>
  <si>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</si>
  <si>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</si>
  <si>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</si>
  <si>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</si>
  <si>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</si>
  <si>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</si>
  <si>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</si>
  <si>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</si>
  <si>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</si>
  <si>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</si>
  <si>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</si>
  <si>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</si>
  <si>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</si>
  <si>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</si>
  <si>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</si>
  <si>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</si>
  <si>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</si>
  <si>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</si>
  <si>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</si>
  <si>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</si>
  <si>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</si>
  <si>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</si>
  <si>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</si>
  <si>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</si>
  <si>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</si>
  <si>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</si>
  <si>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</si>
  <si>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</si>
  <si>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</si>
  <si>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</si>
  <si>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</si>
  <si>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</si>
  <si>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</si>
  <si>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</si>
  <si>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</si>
  <si>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</si>
  <si>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</si>
  <si>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</si>
  <si>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</si>
  <si>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</si>
  <si>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</si>
  <si>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</si>
  <si>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</si>
  <si>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</si>
  <si>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</si>
  <si>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</si>
  <si>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</si>
  <si>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</si>
  <si>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</si>
  <si>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</si>
  <si>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</si>
  <si>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</si>
  <si>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</si>
  <si>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</si>
  <si>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</si>
  <si>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</si>
  <si>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</si>
  <si>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</si>
  <si>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</si>
  <si>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</si>
  <si>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</si>
  <si>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</si>
  <si>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</si>
  <si>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</si>
  <si>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</si>
  <si>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</si>
  <si>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</si>
  <si>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</si>
  <si>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</si>
  <si>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</si>
  <si>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</si>
  <si>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</si>
  <si>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</si>
  <si>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</si>
  <si>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</si>
  <si>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</si>
  <si>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</si>
  <si>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</si>
  <si>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</si>
  <si>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</si>
  <si>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</si>
  <si>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</si>
  <si>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</si>
  <si>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</si>
  <si>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</si>
  <si>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</si>
  <si>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</si>
  <si>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</si>
  <si>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</si>
  <si>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</si>
  <si>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</si>
  <si>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</si>
  <si>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</si>
  <si>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</si>
  <si>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</si>
  <si>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</si>
  <si>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</si>
  <si>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</si>
  <si>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</si>
  <si>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</si>
  <si>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</si>
  <si>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</si>
  <si>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</si>
  <si>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</si>
  <si>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</si>
  <si>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</si>
  <si>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</si>
  <si>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</si>
  <si>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</si>
  <si>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</si>
  <si>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</si>
  <si>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</si>
  <si>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</si>
  <si>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</si>
  <si>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</si>
  <si>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</si>
  <si>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</si>
  <si>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</si>
  <si>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</si>
  <si>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</si>
  <si>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</si>
  <si>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</si>
  <si>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</si>
  <si>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</si>
  <si>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</si>
  <si>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</si>
  <si>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</si>
  <si>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</si>
  <si>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</si>
  <si>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</si>
  <si>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</si>
  <si>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</si>
  <si>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</si>
  <si>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</si>
  <si>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</si>
  <si>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</si>
  <si>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</si>
  <si>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</si>
  <si>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</si>
  <si>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</si>
  <si>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</si>
  <si>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</si>
  <si>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</si>
  <si>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</si>
  <si>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</si>
  <si>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</si>
  <si>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</si>
  <si>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</si>
  <si>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</si>
  <si>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</si>
  <si>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</si>
  <si>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</si>
  <si>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</si>
  <si>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</si>
  <si>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</si>
  <si>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</si>
  <si>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</si>
  <si>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</si>
  <si>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</si>
  <si>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</si>
  <si>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</si>
  <si>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</si>
  <si>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</si>
  <si>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</si>
  <si>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</si>
  <si>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</si>
  <si>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</si>
  <si>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</si>
  <si>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</si>
  <si>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</si>
  <si>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</si>
  <si>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</si>
  <si>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</si>
  <si>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</si>
  <si>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</si>
  <si>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</si>
  <si>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</si>
  <si>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</si>
  <si>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</si>
  <si>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</si>
  <si>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</si>
  <si>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</si>
  <si>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</si>
  <si>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</si>
  <si>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</si>
  <si>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</si>
  <si>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</si>
  <si>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</si>
  <si>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</si>
  <si>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</si>
  <si>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</si>
  <si>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</si>
  <si>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</si>
  <si>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</si>
  <si>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</si>
  <si>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</si>
  <si>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</si>
  <si>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</si>
  <si>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</si>
  <si>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</si>
  <si>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</si>
  <si>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</si>
  <si>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</si>
  <si>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</si>
  <si>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</si>
  <si>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</si>
  <si>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</si>
  <si>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</si>
  <si>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</si>
  <si>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</si>
  <si>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</si>
  <si>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</si>
  <si>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</si>
  <si>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</si>
  <si>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</si>
  <si>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</si>
  <si>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</si>
  <si>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</si>
  <si>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</si>
  <si>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</si>
  <si>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</si>
  <si>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</si>
  <si>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</si>
  <si>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</si>
  <si>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</si>
  <si>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</si>
  <si>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</si>
  <si>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</si>
  <si>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</si>
  <si>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</si>
  <si>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</si>
  <si>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</si>
  <si>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</si>
  <si>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</si>
  <si>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</si>
  <si>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</si>
  <si>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</si>
  <si>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</si>
  <si>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</si>
  <si>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</si>
  <si>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</si>
  <si>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</si>
  <si>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</si>
  <si>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</si>
  <si>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</si>
  <si>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</si>
  <si>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</si>
  <si>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</si>
  <si>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</si>
  <si>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</si>
  <si>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</si>
  <si>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</si>
  <si>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</si>
  <si>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</si>
  <si>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</si>
  <si>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</si>
  <si>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</si>
  <si>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</si>
  <si>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</si>
  <si>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</si>
  <si>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</si>
  <si>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</si>
  <si>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</si>
  <si>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</si>
  <si>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</si>
  <si>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</si>
  <si>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</si>
  <si>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</si>
  <si>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</si>
  <si>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</si>
  <si>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</si>
  <si>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</si>
  <si>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</si>
  <si>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</si>
  <si>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</si>
  <si>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</si>
  <si>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</si>
  <si>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</si>
  <si>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</si>
  <si>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</si>
  <si>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</si>
  <si>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</si>
  <si>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</si>
  <si>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</si>
  <si>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</si>
  <si>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</si>
  <si>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</si>
  <si>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</si>
  <si>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</si>
  <si>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</si>
  <si>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</si>
  <si>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</si>
  <si>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</si>
  <si>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</si>
  <si>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</si>
  <si>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</si>
  <si>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</si>
  <si>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</si>
  <si>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</si>
  <si>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</si>
  <si>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</si>
  <si>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</si>
  <si>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</si>
  <si>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</si>
  <si>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</si>
  <si>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</si>
  <si>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</si>
  <si>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</si>
  <si>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</si>
  <si>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</si>
  <si>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</si>
  <si>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</si>
  <si>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</si>
  <si>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</si>
  <si>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</si>
  <si>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</si>
  <si>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</si>
  <si>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</si>
  <si>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</si>
  <si>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</si>
  <si>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</si>
  <si>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</si>
  <si>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</si>
  <si>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</si>
  <si>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</si>
  <si>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</si>
  <si>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</si>
  <si>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</si>
  <si>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</si>
  <si>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</si>
  <si>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</si>
  <si>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</si>
  <si>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</si>
  <si>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</si>
  <si>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</si>
  <si>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</si>
  <si>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</si>
  <si>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</si>
  <si>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</si>
  <si>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</si>
  <si>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</si>
  <si>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</si>
  <si>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</si>
  <si>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</si>
  <si>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</si>
  <si>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</si>
  <si>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</si>
  <si>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</si>
  <si>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</si>
  <si>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</si>
  <si>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</si>
  <si>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</si>
  <si>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</si>
  <si>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</si>
  <si>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</si>
  <si>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</si>
  <si>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</si>
  <si>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</si>
  <si>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</si>
  <si>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</si>
  <si>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</si>
  <si>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</si>
  <si>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</si>
  <si>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</si>
  <si>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</si>
  <si>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</si>
  <si>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</si>
  <si>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</si>
  <si>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</si>
  <si>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</si>
  <si>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</si>
  <si>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</si>
  <si>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</si>
  <si>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</si>
  <si>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</si>
  <si>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</si>
  <si>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</si>
  <si>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</si>
  <si>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</si>
  <si>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</si>
  <si>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</si>
  <si>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</si>
  <si>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</si>
  <si>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</si>
  <si>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</si>
  <si>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</si>
  <si>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</si>
  <si>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</si>
  <si>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</si>
  <si>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</si>
  <si>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</si>
  <si>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</si>
  <si>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</si>
  <si>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</si>
  <si>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</si>
  <si>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</si>
  <si>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</si>
  <si>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</si>
  <si>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</si>
  <si>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</si>
  <si>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</si>
  <si>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</si>
  <si>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</si>
  <si>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</si>
  <si>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</si>
  <si>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</si>
  <si>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</si>
  <si>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</si>
  <si>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</si>
  <si>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</si>
  <si>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</si>
  <si>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</si>
  <si>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</si>
  <si>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</si>
  <si>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</si>
  <si>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</si>
  <si>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</si>
  <si>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</si>
  <si>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</si>
  <si>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</si>
  <si>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</si>
  <si>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</si>
  <si>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</si>
  <si>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</si>
  <si>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</si>
  <si>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</si>
  <si>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</si>
  <si>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</si>
  <si>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</si>
  <si>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</si>
  <si>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</si>
  <si>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</si>
  <si>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</si>
  <si>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</si>
  <si>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</si>
  <si>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</si>
  <si>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</si>
  <si>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</si>
  <si>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</si>
  <si>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</si>
  <si>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</si>
  <si>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</si>
  <si>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</si>
  <si>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</si>
  <si>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</si>
  <si>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</si>
  <si>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</si>
  <si>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</si>
  <si>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</si>
  <si>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</si>
  <si>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</si>
  <si>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</si>
  <si>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</si>
  <si>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</si>
  <si>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</si>
  <si>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</si>
  <si>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</si>
  <si>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</si>
  <si>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</si>
  <si>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</si>
  <si>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</si>
  <si>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</si>
  <si>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</si>
  <si>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</si>
  <si>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</si>
  <si>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</si>
  <si>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</si>
  <si>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</si>
  <si>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</si>
  <si>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</si>
  <si>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</si>
  <si>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</si>
  <si>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</si>
  <si>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</si>
  <si>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</si>
  <si>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</si>
  <si>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</si>
  <si>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</si>
  <si>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</si>
  <si>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</si>
  <si>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</si>
  <si>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</si>
  <si>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</si>
  <si>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</si>
  <si>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</si>
  <si>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</si>
  <si>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</si>
  <si>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</si>
  <si>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</si>
  <si>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</si>
  <si>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</si>
  <si>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</si>
  <si>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</si>
  <si>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</si>
  <si>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</si>
  <si>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</si>
  <si>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</si>
  <si>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</si>
  <si>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</si>
  <si>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</si>
  <si>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</si>
  <si>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</si>
  <si>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</si>
  <si>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</si>
  <si>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</si>
  <si>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</si>
  <si>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</si>
  <si>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</si>
  <si>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</si>
  <si>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</si>
  <si>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</si>
  <si>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</si>
  <si>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</si>
  <si>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</si>
  <si>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</si>
  <si>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</si>
  <si>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</si>
  <si>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</si>
  <si>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</si>
  <si>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</si>
  <si>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</si>
  <si>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</si>
  <si>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</si>
  <si>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</si>
  <si>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</si>
  <si>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</si>
  <si>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</si>
  <si>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</si>
  <si>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</si>
  <si>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</si>
  <si>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</si>
  <si>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</si>
  <si>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</si>
  <si>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</si>
  <si>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</si>
  <si>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</si>
  <si>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</si>
  <si>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</si>
  <si>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</si>
  <si>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</si>
  <si>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</si>
  <si>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</si>
  <si>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</si>
  <si>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</si>
  <si>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</si>
  <si>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</si>
  <si>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</si>
  <si>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</si>
  <si>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</si>
  <si>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</si>
  <si>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</si>
  <si>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</si>
  <si>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</si>
  <si>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</si>
  <si>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</si>
  <si>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</si>
  <si>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</si>
  <si>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</si>
  <si>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</si>
  <si>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</si>
  <si>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</si>
  <si>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</si>
  <si>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</si>
  <si>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</si>
  <si>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</si>
  <si>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</si>
  <si>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</si>
  <si>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</si>
  <si>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</si>
  <si>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</si>
  <si>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</si>
  <si>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</si>
  <si>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</si>
  <si>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</si>
  <si>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</si>
  <si>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</si>
  <si>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</si>
  <si>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</si>
  <si>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</si>
  <si>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</si>
  <si>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</si>
  <si>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</si>
  <si>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</si>
  <si>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</si>
  <si>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</si>
  <si>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</si>
  <si>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</si>
  <si>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</si>
  <si>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</si>
  <si>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</si>
  <si>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</si>
  <si>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</si>
  <si>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</si>
  <si>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</si>
  <si>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</si>
  <si>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</si>
  <si>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</si>
  <si>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</si>
  <si>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</si>
  <si>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</si>
  <si>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</si>
  <si>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</si>
  <si>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</si>
  <si>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</si>
  <si>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</si>
  <si>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</si>
  <si>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</si>
  <si>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</si>
  <si>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</si>
  <si>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</si>
  <si>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</si>
  <si>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</si>
  <si>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</si>
  <si>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</si>
  <si>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</si>
  <si>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</si>
  <si>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</si>
  <si>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</si>
  <si>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</si>
  <si>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</si>
  <si>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</si>
  <si>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</si>
  <si>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</si>
  <si>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</si>
  <si>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</si>
  <si>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</si>
  <si>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</si>
  <si>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</si>
  <si>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</si>
  <si>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</si>
  <si>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</si>
  <si>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</si>
  <si>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</si>
  <si>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</si>
  <si>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</si>
  <si>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</si>
  <si>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</si>
  <si>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</si>
  <si>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</si>
  <si>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</si>
  <si>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</si>
  <si>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</si>
  <si>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</si>
  <si>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</si>
  <si>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</si>
  <si>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</si>
  <si>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</si>
  <si>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</si>
  <si>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</si>
  <si>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</si>
  <si>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</si>
  <si>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</si>
  <si>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</si>
  <si>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</si>
  <si>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</si>
  <si>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</si>
  <si>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</si>
  <si>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</si>
  <si>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</si>
  <si>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</si>
  <si>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</si>
  <si>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</si>
  <si>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</si>
  <si>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</si>
  <si>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</si>
  <si>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</si>
  <si>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</si>
  <si>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</si>
  <si>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</si>
  <si>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</si>
  <si>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</si>
  <si>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</si>
  <si>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</si>
  <si>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</si>
  <si>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</si>
  <si>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</si>
  <si>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</si>
  <si>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</si>
  <si>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</si>
  <si>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</si>
  <si>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</si>
  <si>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</si>
  <si>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</si>
  <si>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</si>
  <si>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</si>
  <si>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</si>
  <si>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</si>
  <si>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</si>
  <si>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</si>
  <si>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</si>
  <si>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</si>
  <si>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</si>
  <si>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</si>
  <si>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</si>
  <si>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</si>
  <si>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</si>
  <si>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</si>
  <si>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</si>
  <si>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</si>
  <si>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</si>
  <si>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</si>
  <si>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</si>
  <si>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</si>
  <si>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</si>
  <si>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</si>
  <si>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</si>
  <si>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</si>
  <si>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</si>
  <si>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</si>
  <si>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</si>
  <si>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</si>
  <si>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</si>
  <si>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</si>
  <si>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</si>
  <si>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</si>
  <si>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</si>
  <si>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</si>
  <si>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</si>
  <si>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</si>
  <si>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</si>
  <si>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</si>
  <si>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</si>
  <si>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</si>
  <si>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</si>
  <si>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</si>
  <si>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</si>
  <si>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</si>
  <si>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</si>
  <si>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</si>
  <si>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</si>
  <si>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</si>
  <si>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</si>
  <si>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</si>
  <si>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</si>
  <si>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</si>
  <si>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</si>
  <si>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</si>
  <si>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</si>
  <si>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</si>
  <si>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</si>
  <si>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</si>
  <si>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</si>
  <si>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</si>
  <si>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</si>
  <si>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</si>
  <si>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</si>
  <si>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</si>
  <si>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</si>
  <si>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</si>
  <si>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</si>
  <si>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</si>
  <si>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</si>
  <si>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</si>
  <si>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</si>
  <si>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</si>
  <si>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</si>
  <si>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</si>
  <si>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</si>
  <si>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</si>
  <si>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</si>
  <si>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</si>
  <si>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</si>
  <si>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</si>
  <si>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</si>
  <si>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</si>
  <si>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</si>
  <si>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</si>
  <si>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</si>
  <si>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</si>
  <si>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</si>
  <si>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</si>
  <si>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</si>
  <si>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</si>
  <si>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</si>
  <si>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</si>
  <si>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</si>
  <si>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</si>
  <si>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</si>
  <si>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</si>
  <si>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</si>
  <si>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</si>
  <si>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</si>
  <si>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</si>
  <si>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</si>
  <si>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</si>
  <si>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</si>
  <si>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</si>
  <si>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</si>
  <si>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</si>
  <si>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</si>
  <si>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</si>
  <si>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</si>
  <si>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</si>
  <si>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</si>
  <si>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</si>
  <si>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</si>
  <si>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</si>
  <si>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</si>
  <si>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</si>
  <si>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</si>
  <si>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</si>
  <si>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</si>
  <si>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</si>
  <si>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</si>
  <si>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</si>
  <si>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</si>
  <si>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</si>
  <si>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</si>
  <si>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</si>
  <si>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</si>
  <si>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</si>
  <si>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</si>
  <si>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</si>
  <si>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</si>
  <si>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</si>
  <si>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</si>
  <si>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</si>
  <si>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</si>
  <si>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</si>
  <si>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</si>
  <si>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</si>
  <si>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</si>
  <si>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</si>
  <si>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</si>
  <si>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</si>
  <si>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</si>
  <si>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</si>
  <si>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</si>
  <si>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</si>
  <si>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</si>
  <si>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</si>
  <si>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</si>
  <si>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</si>
  <si>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</si>
  <si>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</si>
  <si>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</si>
  <si>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</si>
  <si>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</si>
  <si>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</si>
  <si>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</si>
  <si>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</si>
  <si>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</si>
  <si>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</si>
  <si>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</si>
  <si>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</si>
  <si>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</si>
  <si>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</si>
  <si>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</si>
  <si>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</si>
  <si>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</si>
  <si>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</si>
  <si>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</si>
  <si>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</si>
  <si>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</si>
  <si>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</si>
  <si>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</si>
  <si>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</si>
  <si>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</si>
  <si>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</si>
  <si>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</si>
  <si>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</si>
  <si>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</si>
  <si>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</si>
  <si>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</si>
  <si>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</si>
  <si>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</si>
  <si>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</si>
  <si>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</si>
  <si>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</si>
  <si>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</si>
  <si>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</si>
  <si>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</si>
  <si>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</si>
  <si>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</si>
  <si>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</si>
  <si>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</si>
  <si>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</si>
  <si>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</si>
  <si>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</si>
  <si>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</si>
  <si>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</si>
  <si>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</si>
  <si>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</si>
  <si>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</si>
  <si>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</si>
  <si>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</si>
  <si>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</si>
  <si>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</si>
  <si>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</si>
  <si>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</si>
  <si>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</si>
  <si>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</si>
  <si>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</si>
  <si>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</si>
  <si>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</si>
  <si>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</si>
  <si>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</si>
  <si>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</si>
  <si>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</si>
  <si>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</si>
  <si>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</si>
  <si>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</si>
  <si>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</si>
  <si>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</si>
  <si>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</si>
  <si>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</si>
  <si>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</si>
  <si>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</si>
  <si>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</si>
  <si>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</si>
  <si>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</si>
  <si>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</si>
  <si>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</si>
  <si>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</si>
  <si>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</si>
  <si>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</si>
  <si>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</si>
  <si>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</si>
  <si>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</si>
  <si>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</si>
  <si>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</si>
  <si>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</si>
  <si>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</si>
  <si>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</si>
  <si>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</si>
  <si>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</si>
  <si>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</si>
  <si>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</si>
  <si>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</si>
  <si>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</si>
  <si>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</si>
  <si>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</si>
  <si>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</si>
  <si>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</si>
  <si>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</si>
  <si>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</si>
  <si>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</si>
  <si>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</si>
  <si>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</si>
  <si>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</si>
  <si>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</si>
  <si>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</si>
  <si>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</si>
  <si>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</si>
  <si>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</si>
  <si>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</si>
  <si>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</si>
  <si>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</si>
  <si>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</si>
  <si>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</si>
  <si>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</si>
  <si>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</si>
  <si>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</si>
  <si>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</si>
  <si>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</si>
  <si>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</si>
  <si>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</si>
  <si>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</si>
  <si>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</si>
  <si>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</si>
  <si>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</si>
  <si>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</si>
  <si>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</si>
  <si>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</si>
  <si>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</si>
  <si>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</si>
  <si>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</si>
  <si>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</si>
  <si>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</si>
  <si>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</si>
  <si>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</si>
  <si>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</si>
  <si>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</si>
  <si>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</si>
  <si>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</si>
  <si>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</si>
  <si>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</si>
  <si>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</si>
  <si>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</si>
  <si>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</si>
  <si>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</si>
  <si>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</si>
  <si>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</si>
  <si>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</si>
  <si>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</si>
  <si>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</si>
  <si>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</si>
  <si>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</si>
  <si>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</si>
  <si>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</si>
  <si>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</si>
  <si>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</si>
  <si>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</si>
  <si>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</si>
  <si>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</si>
  <si>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</si>
  <si>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</si>
  <si>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</si>
  <si>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</si>
  <si>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</si>
  <si>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</si>
  <si>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</si>
  <si>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</si>
  <si>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</si>
  <si>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</si>
  <si>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</si>
  <si>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</si>
  <si>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</si>
  <si>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</si>
  <si>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</si>
  <si>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</si>
  <si>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</si>
  <si>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</si>
  <si>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</si>
  <si>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</si>
  <si>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</si>
  <si>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</si>
  <si>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</si>
  <si>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</si>
  <si>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</si>
  <si>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</si>
  <si>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</si>
  <si>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</si>
  <si>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</si>
  <si>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</si>
  <si>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</si>
  <si>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</si>
  <si>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</si>
  <si>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</si>
  <si>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</si>
  <si>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</si>
  <si>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</si>
  <si>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</si>
  <si>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</si>
  <si>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</si>
  <si>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</si>
  <si>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</si>
  <si>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</si>
  <si>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</si>
  <si>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</si>
  <si>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</si>
  <si>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</si>
  <si>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</si>
  <si>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</si>
  <si>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</si>
  <si>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</si>
  <si>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</si>
  <si>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</si>
  <si>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</si>
  <si>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</si>
  <si>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</si>
  <si>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</si>
  <si>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</si>
  <si>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</si>
  <si>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</si>
  <si>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</si>
  <si>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</si>
  <si>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</si>
  <si>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</si>
  <si>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</si>
  <si>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</si>
  <si>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</si>
  <si>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</si>
  <si>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</si>
  <si>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</si>
  <si>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</si>
  <si>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</si>
  <si>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</si>
  <si>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</si>
  <si>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</si>
  <si>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</si>
  <si>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</si>
  <si>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</si>
  <si>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</si>
  <si>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</si>
  <si>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</si>
  <si>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</si>
  <si>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</si>
  <si>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</si>
  <si>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</si>
  <si>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</si>
  <si>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</si>
  <si>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</si>
  <si>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</si>
  <si>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</si>
  <si>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</si>
  <si>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</si>
  <si>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</si>
  <si>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</si>
  <si>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</si>
  <si>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</si>
  <si>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</si>
  <si>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</si>
  <si>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</si>
  <si>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</si>
  <si>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</si>
  <si>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</si>
  <si>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</si>
  <si>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</si>
  <si>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</si>
  <si>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</si>
  <si>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</si>
  <si>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</si>
  <si>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</si>
  <si>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</si>
  <si>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</si>
  <si>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</si>
  <si>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</si>
  <si>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</si>
  <si>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</si>
  <si>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</si>
  <si>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</si>
  <si>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</si>
  <si>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</si>
  <si>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</si>
  <si>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</si>
  <si>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</si>
  <si>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</si>
  <si>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</si>
  <si>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</si>
  <si>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</si>
  <si>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</si>
  <si>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</si>
  <si>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</si>
  <si>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</si>
  <si>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</si>
  <si>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</si>
  <si>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</si>
  <si>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</si>
  <si>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</si>
  <si>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</si>
  <si>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</si>
  <si>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</si>
  <si>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</si>
  <si>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</si>
  <si>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</si>
  <si>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</si>
  <si>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</si>
  <si>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</si>
  <si>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</si>
  <si>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</si>
  <si>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</si>
  <si>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</si>
  <si>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</si>
  <si>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</si>
  <si>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</si>
  <si>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</si>
  <si>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</si>
  <si>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</si>
  <si>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</si>
  <si>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</si>
  <si>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</si>
  <si>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</si>
  <si>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</si>
  <si>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</si>
  <si>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</si>
  <si>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</si>
  <si>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</si>
  <si>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</si>
  <si>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</si>
  <si>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</si>
  <si>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</si>
  <si>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</si>
  <si>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</si>
  <si>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</si>
  <si>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</si>
  <si>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</si>
  <si>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</si>
  <si>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</si>
  <si>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</si>
  <si>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</si>
  <si>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</si>
  <si>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</si>
  <si>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</si>
  <si>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</si>
  <si>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</si>
  <si>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</si>
  <si>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</si>
  <si>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</si>
  <si>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</si>
  <si>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</si>
  <si>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</si>
  <si>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</si>
  <si>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</si>
  <si>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</si>
  <si>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</si>
  <si>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</si>
  <si>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</si>
  <si>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</si>
  <si>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</si>
  <si>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</si>
  <si>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</si>
  <si>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</si>
  <si>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</si>
  <si>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</si>
  <si>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</si>
  <si>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</si>
  <si>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</si>
  <si>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</si>
  <si>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</si>
  <si>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</si>
  <si>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</si>
  <si>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</si>
  <si>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</si>
  <si>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</si>
  <si>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</si>
  <si>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</si>
  <si>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</si>
  <si>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</si>
  <si>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</si>
  <si>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</si>
  <si>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</si>
  <si>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</si>
  <si>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</si>
  <si>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</si>
  <si>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</si>
  <si>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</si>
  <si>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</si>
  <si>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</si>
  <si>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</si>
  <si>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</si>
  <si>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</si>
  <si>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</si>
  <si>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</si>
  <si>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</si>
  <si>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</si>
  <si>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</si>
  <si>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</si>
  <si>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</si>
  <si>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</si>
  <si>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</si>
  <si>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</si>
  <si>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</si>
  <si>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</si>
  <si>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</si>
  <si>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</si>
  <si>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</si>
  <si>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</si>
  <si>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</si>
  <si>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</si>
  <si>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</si>
  <si>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</si>
  <si>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</si>
  <si>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</si>
  <si>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</si>
  <si>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</si>
  <si>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</si>
  <si>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</si>
  <si>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</si>
  <si>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</si>
  <si>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</si>
  <si>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</si>
  <si>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</si>
  <si>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</si>
  <si>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</si>
  <si>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</si>
  <si>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</si>
  <si>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</si>
  <si>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</si>
  <si>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</si>
  <si>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</si>
  <si>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</si>
  <si>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</si>
  <si>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</si>
  <si>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</si>
  <si>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</si>
  <si>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</si>
  <si>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</si>
  <si>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</si>
  <si>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</si>
  <si>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</si>
  <si>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</si>
  <si>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</si>
  <si>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</si>
  <si>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</si>
  <si>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</si>
  <si>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</si>
  <si>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</si>
  <si>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</si>
  <si>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</si>
  <si>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</si>
  <si>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</si>
  <si>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</si>
  <si>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</si>
  <si>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</si>
  <si>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</si>
  <si>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</si>
  <si>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</si>
  <si>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</si>
  <si>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</si>
  <si>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</si>
  <si>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</si>
  <si>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</si>
  <si>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</si>
  <si>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</si>
  <si>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</si>
  <si>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</si>
  <si>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</si>
  <si>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</si>
  <si>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</si>
  <si>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</si>
  <si>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</si>
  <si>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</si>
  <si>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</si>
  <si>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</si>
  <si>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</si>
  <si>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</si>
  <si>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</si>
  <si>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</si>
  <si>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</si>
  <si>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</si>
  <si>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</si>
  <si>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</si>
  <si>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</si>
  <si>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</si>
  <si>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</si>
  <si>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</si>
  <si>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</si>
  <si>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</si>
  <si>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</si>
  <si>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</si>
  <si>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</si>
  <si>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</si>
  <si>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</si>
  <si>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</si>
  <si>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</si>
  <si>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</si>
  <si>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</si>
  <si>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</si>
  <si>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</si>
  <si>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</si>
  <si>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</si>
  <si>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</si>
  <si>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</si>
  <si>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</si>
  <si>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</si>
  <si>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</si>
  <si>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</si>
  <si>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</si>
  <si>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</si>
  <si>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</si>
  <si>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</si>
  <si>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</si>
  <si>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</si>
  <si>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</si>
  <si>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</si>
  <si>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</si>
  <si>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</si>
  <si>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</si>
  <si>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</si>
  <si>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</si>
  <si>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</si>
  <si>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</si>
  <si>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</si>
  <si>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</si>
  <si>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</si>
  <si>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</si>
  <si>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</si>
  <si>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</si>
  <si>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</si>
  <si>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</si>
  <si>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</si>
  <si>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</si>
  <si>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</si>
  <si>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</si>
  <si>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</si>
  <si>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</si>
  <si>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</si>
  <si>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</si>
  <si>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</si>
  <si>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</si>
  <si>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</si>
  <si>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</si>
  <si>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</si>
  <si>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</si>
  <si>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</si>
  <si>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</si>
  <si>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</si>
  <si>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</si>
  <si>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</si>
  <si>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</si>
  <si>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</si>
  <si>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</si>
  <si>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</si>
  <si>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</si>
  <si>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</si>
  <si>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</si>
  <si>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</si>
  <si>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</si>
  <si>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</si>
  <si>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</si>
  <si>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</si>
  <si>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</si>
  <si>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</si>
  <si>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</si>
  <si>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</si>
  <si>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</si>
  <si>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</si>
  <si>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</si>
  <si>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</si>
  <si>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</si>
  <si>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</si>
  <si>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</si>
  <si>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</si>
  <si>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</si>
  <si>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</si>
  <si>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</si>
  <si>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</si>
  <si>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</si>
  <si>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</si>
  <si>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</si>
  <si>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</si>
  <si>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</si>
  <si>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</si>
  <si>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</si>
  <si>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</si>
  <si>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</si>
  <si>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</si>
  <si>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</si>
  <si>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</si>
  <si>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</si>
  <si>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</si>
  <si>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</si>
  <si>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</si>
  <si>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</si>
  <si>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</si>
  <si>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</si>
  <si>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</si>
  <si>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</si>
  <si>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</si>
  <si>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</si>
  <si>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</si>
  <si>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</si>
  <si>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</si>
  <si>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</si>
  <si>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</si>
  <si>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</si>
  <si>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</si>
  <si>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</si>
  <si>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</si>
  <si>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</si>
  <si>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</si>
  <si>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</si>
  <si>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</si>
  <si>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</si>
  <si>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</si>
  <si>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</si>
  <si>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</si>
  <si>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</si>
  <si>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</si>
  <si>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</si>
  <si>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</si>
  <si>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</si>
  <si>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</si>
  <si>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</si>
  <si>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</si>
  <si>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</si>
  <si>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</si>
  <si>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</si>
  <si>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</si>
  <si>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</si>
  <si>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</si>
  <si>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</si>
  <si>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</si>
  <si>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</si>
  <si>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</si>
  <si>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</si>
  <si>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</si>
  <si>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</si>
  <si>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</si>
  <si>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</si>
  <si>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</si>
  <si>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</si>
  <si>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</si>
  <si>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</si>
  <si>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</si>
  <si>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</si>
  <si>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</si>
  <si>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</si>
  <si>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</si>
  <si>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</si>
  <si>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</si>
  <si>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</si>
  <si>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</si>
  <si>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</si>
  <si>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</si>
  <si>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</si>
  <si>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</si>
  <si>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</si>
  <si>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</si>
  <si>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</si>
  <si>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</si>
  <si>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</si>
  <si>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</si>
  <si>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</si>
  <si>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</si>
  <si>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</si>
  <si>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</si>
  <si>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</si>
  <si>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</si>
  <si>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</si>
  <si>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</si>
  <si>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</si>
  <si>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</si>
  <si>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</si>
  <si>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</si>
  <si>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</si>
  <si>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</si>
  <si>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</si>
  <si>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</si>
  <si>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</si>
  <si>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</si>
  <si>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</si>
  <si>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</si>
  <si>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</si>
  <si>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</si>
  <si>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</si>
  <si>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</si>
  <si>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</si>
  <si>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</si>
  <si>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</si>
  <si>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</si>
  <si>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</si>
  <si>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</si>
  <si>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</si>
  <si>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</si>
  <si>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</si>
  <si>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</si>
  <si>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</si>
  <si>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</si>
  <si>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</si>
  <si>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</si>
  <si>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</si>
  <si>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</si>
  <si>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</si>
  <si>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</si>
  <si>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</si>
  <si>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</si>
  <si>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</si>
  <si>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</si>
  <si>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</si>
  <si>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</si>
  <si>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</si>
  <si>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</si>
  <si>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</si>
  <si>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</si>
  <si>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</si>
  <si>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</si>
  <si>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</si>
  <si>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</si>
  <si>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</si>
  <si>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</si>
  <si>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</si>
  <si>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</si>
  <si>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</si>
  <si>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</si>
  <si>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</si>
  <si>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</si>
  <si>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</si>
  <si>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</si>
  <si>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</si>
  <si>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</si>
  <si>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</si>
  <si>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</si>
  <si>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</si>
  <si>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</si>
  <si>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</si>
  <si>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</si>
  <si>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</si>
  <si>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</si>
  <si>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</si>
  <si>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</si>
  <si>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</si>
  <si>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</si>
  <si>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</si>
  <si>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</si>
  <si>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</si>
  <si>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</si>
  <si>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</si>
  <si>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</si>
  <si>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</si>
  <si>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</si>
  <si>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</si>
  <si>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</si>
  <si>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</si>
  <si>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</si>
  <si>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</si>
  <si>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</si>
  <si>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</si>
  <si>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</si>
  <si>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</si>
  <si>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</si>
  <si>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</si>
  <si>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</si>
  <si>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</si>
  <si>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</si>
  <si>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</si>
  <si>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</si>
  <si>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</si>
  <si>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</si>
  <si>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</si>
  <si>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</si>
  <si>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</si>
  <si>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</si>
  <si>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</si>
  <si>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</si>
  <si>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</si>
  <si>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</si>
  <si>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</si>
  <si>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</si>
  <si>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</si>
  <si>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</si>
  <si>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</si>
  <si>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</si>
  <si>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</si>
  <si>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</si>
  <si>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</si>
  <si>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</si>
  <si>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</si>
  <si>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</si>
  <si>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</si>
  <si>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</si>
  <si>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</si>
  <si>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</si>
  <si>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</si>
  <si>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</si>
  <si>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</si>
  <si>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</si>
  <si>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</si>
  <si>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</si>
  <si>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</si>
  <si>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</si>
  <si>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</si>
  <si>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</si>
  <si>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</si>
  <si>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</si>
  <si>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</si>
  <si>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</si>
  <si>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</si>
  <si>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</si>
  <si>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</si>
  <si>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</si>
  <si>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</si>
  <si>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</si>
  <si>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</si>
  <si>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</si>
  <si>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</si>
  <si>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</si>
  <si>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</si>
  <si>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</si>
  <si>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</si>
  <si>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</si>
  <si>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</si>
  <si>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</si>
  <si>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</si>
  <si>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</si>
  <si>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</si>
  <si>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</si>
  <si>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</si>
  <si>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</si>
  <si>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</si>
  <si>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</si>
  <si>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</si>
  <si>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</si>
  <si>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</si>
  <si>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</si>
  <si>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</si>
  <si>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</si>
  <si>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</si>
  <si>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</si>
  <si>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</si>
  <si>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</si>
  <si>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</si>
  <si>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</si>
  <si>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</si>
  <si>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</si>
  <si>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</si>
  <si>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</si>
  <si>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</si>
  <si>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</si>
  <si>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</si>
  <si>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</si>
  <si>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</si>
  <si>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</si>
  <si>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</si>
  <si>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</si>
  <si>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</si>
  <si>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</si>
  <si>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</si>
  <si>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</si>
  <si>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</si>
  <si>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</si>
  <si>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</si>
  <si>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</si>
  <si>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</si>
  <si>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</si>
  <si>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</si>
  <si>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</si>
  <si>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</si>
  <si>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</si>
  <si>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</si>
  <si>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</si>
  <si>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</si>
  <si>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</si>
  <si>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</si>
  <si>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</si>
  <si>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</si>
  <si>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</si>
  <si>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</si>
  <si>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</si>
  <si>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</si>
  <si>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</si>
  <si>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</si>
  <si>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</si>
  <si>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</si>
  <si>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</si>
  <si>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</si>
  <si>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</si>
  <si>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</si>
  <si>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</si>
  <si>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</si>
  <si>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</si>
  <si>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</si>
  <si>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</si>
  <si>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</si>
  <si>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</si>
  <si>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</si>
  <si>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</si>
  <si>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</si>
  <si>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</si>
  <si>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</si>
  <si>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</si>
  <si>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</si>
  <si>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</si>
  <si>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</si>
  <si>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</si>
  <si>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</si>
  <si>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</si>
  <si>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</si>
  <si>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</si>
  <si>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</si>
  <si>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</si>
  <si>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</si>
  <si>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</si>
  <si>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</si>
  <si>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</si>
  <si>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</si>
  <si>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</si>
  <si>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</si>
  <si>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</si>
  <si>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</si>
  <si>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</si>
  <si>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</si>
  <si>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</si>
  <si>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</si>
  <si>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</si>
  <si>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</si>
  <si>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</si>
  <si>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</si>
  <si>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</si>
  <si>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</si>
  <si>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</si>
  <si>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</si>
  <si>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</si>
  <si>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</si>
  <si>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</si>
  <si>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</si>
  <si>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</si>
  <si>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</si>
  <si>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</si>
  <si>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</si>
  <si>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</si>
  <si>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</si>
  <si>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</si>
  <si>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</si>
  <si>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</si>
  <si>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</si>
  <si>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</si>
  <si>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</si>
  <si>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</si>
  <si>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</si>
  <si>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</si>
  <si>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</si>
  <si>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</si>
  <si>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</si>
  <si>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</si>
  <si>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</si>
  <si>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</si>
  <si>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</si>
  <si>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</si>
  <si>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</si>
  <si>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</si>
  <si>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</si>
  <si>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</si>
  <si>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</si>
  <si>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</si>
  <si>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</si>
  <si>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</si>
  <si>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</si>
  <si>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</si>
  <si>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</si>
  <si>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</si>
  <si>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</si>
  <si>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</si>
  <si>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</si>
  <si>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</si>
  <si>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</si>
  <si>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</si>
  <si>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</si>
  <si>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</si>
  <si>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</si>
  <si>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</si>
  <si>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</si>
  <si>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</si>
  <si>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</si>
  <si>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</si>
  <si>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</si>
  <si>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</si>
  <si>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</si>
  <si>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</si>
  <si>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</si>
  <si>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</si>
  <si>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</si>
  <si>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</si>
  <si>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</si>
  <si>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</si>
  <si>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</si>
  <si>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</si>
  <si>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</si>
  <si>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</si>
  <si>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</si>
  <si>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</si>
  <si>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</si>
  <si>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</si>
  <si>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</si>
  <si>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</si>
  <si>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</si>
  <si>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</si>
  <si>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</si>
  <si>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</si>
  <si>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</si>
  <si>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</si>
  <si>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</si>
  <si>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</si>
  <si>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</si>
  <si>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</si>
  <si>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</si>
  <si>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</si>
  <si>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</si>
  <si>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</si>
  <si>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</si>
  <si>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</si>
  <si>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</si>
  <si>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</si>
  <si>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</si>
  <si>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</si>
  <si>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</si>
  <si>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</si>
  <si>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</si>
  <si>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</si>
  <si>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</si>
  <si>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</si>
  <si>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</si>
  <si>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</si>
  <si>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</si>
  <si>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</si>
  <si>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</si>
  <si>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</si>
  <si>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</si>
  <si>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</si>
  <si>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</si>
  <si>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</si>
  <si>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</si>
  <si>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</si>
  <si>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</si>
  <si>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</si>
  <si>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</si>
  <si>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</si>
  <si>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</si>
  <si>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</si>
  <si>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</si>
  <si>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</si>
  <si>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</si>
  <si>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</si>
  <si>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</si>
  <si>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</si>
  <si>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</si>
  <si>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</si>
  <si>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</si>
  <si>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</si>
  <si>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</si>
  <si>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</si>
  <si>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</si>
  <si>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</si>
  <si>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</si>
  <si>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</si>
  <si>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</si>
  <si>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</si>
  <si>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</si>
  <si>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</si>
  <si>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</si>
  <si>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</si>
  <si>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</si>
  <si>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</si>
  <si>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</si>
  <si>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</si>
  <si>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</si>
  <si>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</si>
  <si>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</si>
  <si>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</si>
  <si>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</si>
  <si>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</si>
  <si>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</si>
  <si>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</si>
  <si>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</si>
  <si>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</si>
  <si>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</si>
  <si>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</si>
  <si>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</si>
  <si>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</si>
  <si>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</si>
  <si>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</si>
  <si>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</si>
  <si>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</si>
  <si>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</si>
  <si>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</si>
  <si>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</si>
  <si>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</si>
  <si>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</si>
  <si>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</si>
  <si>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</si>
  <si>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</si>
  <si>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</si>
  <si>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</si>
  <si>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</si>
  <si>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</si>
  <si>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</si>
  <si>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</si>
  <si>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</si>
  <si>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</si>
  <si>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</si>
  <si>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</si>
  <si>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</si>
  <si>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</si>
  <si>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</si>
  <si>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</si>
  <si>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</si>
  <si>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</si>
  <si>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</si>
  <si>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</si>
  <si>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</si>
  <si>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</si>
  <si>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</si>
  <si>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</si>
  <si>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</si>
  <si>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</si>
  <si>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</si>
  <si>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</si>
  <si>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</si>
  <si>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</si>
  <si>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</si>
  <si>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</si>
  <si>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</si>
  <si>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</si>
  <si>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</si>
  <si>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</si>
  <si>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</si>
  <si>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</si>
  <si>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</si>
  <si>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</si>
  <si>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</si>
  <si>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</si>
  <si>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</si>
  <si>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</si>
  <si>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</si>
  <si>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</si>
  <si>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</si>
  <si>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</si>
  <si>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</si>
  <si>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</si>
  <si>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</si>
  <si>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</si>
  <si>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</si>
  <si>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</si>
  <si>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</si>
  <si>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</si>
  <si>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</si>
  <si>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</si>
  <si>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</si>
  <si>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</si>
  <si>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</si>
  <si>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</si>
  <si>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</si>
  <si>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</si>
  <si>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</si>
  <si>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</si>
  <si>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</si>
  <si>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</si>
  <si>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</si>
  <si>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</si>
  <si>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</si>
  <si>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</si>
  <si>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</si>
  <si>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</si>
  <si>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</si>
  <si>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</si>
  <si>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</si>
  <si>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</si>
  <si>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</si>
  <si>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</si>
  <si>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</si>
  <si>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</si>
  <si>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</si>
  <si>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</si>
  <si>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</si>
  <si>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</si>
  <si>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</si>
  <si>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</si>
  <si>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</si>
  <si>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</si>
  <si>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</si>
  <si>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</si>
  <si>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</si>
  <si>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</si>
  <si>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</si>
  <si>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</si>
  <si>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</si>
  <si>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</si>
  <si>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</si>
  <si>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</si>
  <si>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</si>
  <si>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</si>
  <si>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</si>
  <si>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</si>
  <si>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</si>
  <si>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</si>
  <si>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</si>
  <si>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</si>
  <si>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</si>
  <si>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</si>
  <si>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</si>
  <si>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</si>
  <si>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</si>
  <si>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</si>
  <si>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</si>
  <si>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</si>
  <si>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</si>
  <si>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</si>
  <si>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</si>
  <si>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</si>
  <si>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</si>
  <si>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</si>
  <si>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</si>
  <si>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</si>
  <si>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</si>
  <si>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</si>
  <si>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</si>
  <si>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</si>
  <si>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</si>
  <si>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</si>
  <si>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</si>
  <si>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</si>
  <si>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</si>
  <si>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</si>
  <si>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</si>
  <si>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</si>
  <si>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</si>
  <si>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</si>
  <si>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</si>
  <si>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</si>
  <si>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</si>
  <si>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</si>
  <si>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</si>
  <si>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</si>
  <si>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</si>
  <si>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</si>
  <si>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</si>
  <si>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</si>
  <si>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</si>
  <si>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</si>
  <si>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</si>
  <si>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</si>
  <si>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</si>
  <si>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</si>
  <si>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</si>
  <si>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</si>
  <si>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</si>
  <si>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</si>
  <si>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</si>
  <si>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</si>
  <si>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</si>
  <si>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</si>
  <si>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</si>
  <si>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</si>
  <si>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</si>
  <si>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</si>
  <si>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</si>
  <si>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</si>
  <si>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</si>
  <si>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</si>
  <si>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</si>
  <si>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</si>
  <si>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</si>
  <si>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</si>
  <si>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</si>
  <si>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</si>
  <si>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</si>
  <si>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</si>
  <si>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</si>
  <si>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</si>
  <si>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</si>
  <si>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</si>
  <si>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</si>
  <si>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</si>
  <si>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</si>
  <si>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</si>
  <si>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</si>
  <si>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</si>
  <si>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</si>
  <si>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</si>
  <si>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</si>
  <si>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</si>
  <si>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</si>
  <si>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</si>
  <si>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</si>
  <si>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</si>
  <si>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</si>
  <si>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</si>
  <si>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</si>
  <si>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</si>
  <si>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</si>
  <si>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</si>
  <si>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</si>
  <si>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</si>
  <si>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</si>
  <si>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</si>
  <si>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</si>
  <si>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</si>
  <si>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</si>
  <si>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</si>
  <si>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</si>
  <si>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</si>
  <si>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</si>
  <si>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</si>
  <si>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</si>
  <si>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</si>
  <si>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</si>
  <si>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</si>
  <si>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</si>
  <si>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</si>
  <si>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</si>
  <si>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</si>
  <si>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</si>
  <si>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</si>
  <si>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</si>
  <si>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</si>
  <si>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</si>
  <si>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</si>
  <si>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</si>
  <si>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</si>
  <si>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</si>
  <si>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</si>
  <si>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</si>
  <si>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</si>
  <si>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</si>
  <si>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</si>
  <si>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</si>
  <si>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</si>
  <si>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</si>
  <si>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</si>
  <si>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</si>
  <si>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</si>
  <si>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</si>
  <si>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</si>
  <si>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</si>
  <si>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</si>
  <si>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</si>
  <si>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</si>
  <si>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</si>
  <si>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</si>
  <si>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</si>
  <si>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</si>
  <si>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</si>
  <si>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</si>
  <si>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</si>
  <si>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</si>
  <si>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</si>
  <si>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</si>
  <si>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</si>
  <si>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</si>
  <si>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</si>
  <si>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</si>
  <si>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</si>
  <si>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</si>
  <si>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</si>
  <si>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</si>
  <si>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</si>
  <si>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</si>
  <si>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</si>
  <si>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</si>
  <si>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</si>
  <si>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</si>
  <si>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</si>
  <si>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</si>
  <si>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</si>
  <si>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</si>
  <si>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</si>
  <si>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</si>
  <si>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</si>
  <si>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</si>
  <si>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</si>
  <si>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</si>
  <si>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</si>
  <si>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</si>
  <si>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</si>
  <si>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</si>
  <si>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</si>
  <si>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</si>
  <si>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</si>
  <si>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</si>
  <si>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</si>
  <si>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</si>
  <si>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</si>
  <si>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</si>
  <si>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</si>
  <si>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</si>
  <si>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</si>
  <si>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</si>
  <si>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</si>
  <si>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</si>
  <si>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</si>
  <si>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</si>
  <si>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</si>
  <si>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</si>
  <si>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</si>
  <si>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</si>
  <si>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</si>
  <si>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</si>
  <si>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</si>
  <si>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</si>
  <si>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</si>
  <si>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</si>
  <si>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</si>
  <si>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</si>
  <si>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</si>
  <si>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</si>
  <si>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</si>
  <si>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</si>
  <si>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</si>
  <si>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</si>
  <si>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</si>
  <si>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</si>
  <si>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</si>
  <si>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</si>
  <si>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</si>
  <si>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</si>
  <si>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</si>
  <si>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</si>
  <si>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</si>
  <si>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</si>
  <si>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</si>
  <si>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</si>
  <si>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</si>
  <si>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</si>
  <si>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</si>
  <si>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</si>
  <si>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</si>
  <si>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</si>
  <si>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</si>
  <si>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</si>
  <si>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</si>
  <si>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</si>
  <si>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</si>
  <si>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</si>
  <si>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</si>
  <si>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</si>
  <si>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</si>
  <si>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</si>
  <si>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</si>
  <si>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</si>
  <si>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</si>
  <si>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</si>
  <si>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</si>
  <si>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</si>
  <si>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</si>
  <si>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</si>
  <si>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</si>
  <si>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</si>
  <si>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</si>
  <si>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</si>
  <si>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</si>
  <si>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</si>
  <si>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</si>
  <si>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</si>
  <si>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</si>
  <si>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</si>
  <si>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</si>
  <si>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</si>
  <si>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</si>
  <si>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</si>
  <si>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</si>
  <si>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</si>
  <si>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</si>
  <si>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</si>
  <si>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</si>
  <si>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</si>
  <si>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</si>
  <si>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</si>
  <si>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</si>
  <si>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</si>
  <si>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</si>
  <si>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</si>
  <si>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</si>
  <si>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</si>
  <si>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</si>
  <si>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</si>
  <si>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</si>
  <si>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</si>
  <si>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</si>
  <si>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</si>
  <si>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</si>
  <si>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</si>
  <si>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</si>
  <si>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</si>
  <si>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</si>
  <si>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</si>
  <si>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</si>
  <si>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</si>
  <si>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</si>
  <si>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</si>
  <si>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</si>
  <si>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</si>
  <si>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</si>
  <si>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</si>
  <si>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</si>
  <si>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</si>
  <si>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</si>
  <si>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</si>
  <si>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</si>
  <si>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</si>
  <si>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</si>
  <si>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</si>
  <si>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</si>
  <si>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</si>
  <si>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</si>
  <si>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</si>
  <si>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</si>
  <si>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</si>
  <si>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</si>
  <si>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</si>
  <si>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</si>
  <si>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</si>
  <si>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</si>
  <si>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</si>
  <si>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</si>
  <si>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</si>
  <si>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</si>
  <si>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</si>
  <si>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</si>
  <si>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</si>
  <si>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</si>
  <si>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</si>
  <si>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</si>
  <si>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</si>
  <si>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</si>
  <si>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</si>
  <si>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</si>
  <si>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</si>
  <si>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</si>
  <si>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</si>
  <si>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</si>
  <si>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</si>
  <si>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</si>
  <si>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</si>
  <si>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</si>
  <si>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</si>
  <si>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</si>
  <si>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</si>
  <si>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</si>
  <si>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</si>
  <si>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</si>
  <si>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</si>
  <si>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</si>
  <si>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</si>
  <si>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</si>
  <si>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</si>
  <si>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</si>
  <si>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</si>
  <si>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</si>
  <si>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</si>
  <si>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</si>
  <si>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</si>
  <si>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</si>
  <si>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</si>
  <si>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</si>
  <si>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</si>
  <si>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</si>
  <si>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</si>
  <si>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</si>
  <si>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</si>
  <si>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</si>
  <si>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</si>
  <si>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</si>
  <si>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</si>
  <si>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</si>
  <si>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</si>
  <si>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</si>
  <si>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</si>
  <si>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</si>
  <si>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</si>
  <si>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</si>
  <si>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</si>
  <si>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</si>
  <si>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</si>
  <si>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</si>
  <si>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</si>
  <si>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</si>
  <si>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</si>
  <si>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</si>
  <si>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</si>
  <si>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</si>
  <si>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</si>
  <si>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</si>
  <si>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</si>
  <si>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</si>
  <si>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</si>
  <si>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</si>
  <si>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</si>
  <si>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</si>
  <si>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</si>
  <si>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</si>
  <si>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</si>
  <si>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</si>
  <si>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</si>
  <si>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</si>
  <si>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</si>
  <si>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</si>
  <si>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</si>
  <si>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</si>
  <si>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</si>
  <si>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</si>
  <si>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</si>
  <si>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</si>
  <si>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</si>
  <si>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</si>
  <si>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</si>
  <si>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</si>
  <si>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</si>
  <si>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</si>
  <si>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</si>
  <si>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</si>
  <si>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</si>
  <si>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</si>
  <si>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</si>
  <si>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</si>
  <si>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</si>
  <si>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</si>
  <si>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</si>
  <si>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</si>
  <si>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</si>
  <si>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</si>
  <si>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</si>
  <si>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</si>
  <si>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</si>
  <si>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</si>
  <si>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</si>
  <si>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</si>
  <si>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</si>
  <si>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</si>
  <si>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</si>
  <si>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</si>
  <si>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</si>
  <si>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</si>
  <si>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</si>
  <si>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</si>
  <si>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</si>
  <si>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</si>
  <si>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</si>
  <si>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</si>
  <si>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</si>
  <si>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</si>
  <si>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</si>
  <si>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</si>
  <si>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</si>
  <si>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</si>
  <si>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</si>
  <si>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</si>
  <si>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</si>
  <si>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</si>
  <si>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</si>
  <si>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</si>
  <si>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</si>
  <si>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</si>
  <si>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</si>
  <si>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</si>
  <si>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</si>
  <si>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</si>
  <si>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</si>
  <si>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</si>
  <si>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</si>
  <si>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</si>
  <si>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</si>
  <si>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</si>
  <si>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</si>
  <si>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</si>
  <si>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</si>
  <si>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</si>
  <si>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</si>
  <si>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</si>
  <si>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</si>
  <si>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</si>
  <si>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</si>
  <si>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</si>
  <si>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</si>
  <si>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</si>
  <si>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</si>
  <si>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</si>
  <si>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</si>
  <si>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</si>
  <si>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</si>
  <si>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</si>
  <si>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</si>
  <si>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</si>
  <si>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</si>
  <si>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</si>
  <si>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</si>
  <si>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</si>
  <si>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</si>
  <si>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</si>
  <si>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</si>
  <si>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</si>
  <si>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</si>
  <si>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</si>
  <si>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</si>
  <si>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</si>
  <si>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</si>
  <si>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</si>
  <si>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</si>
  <si>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</si>
  <si>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</si>
  <si>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</si>
  <si>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</si>
  <si>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</si>
  <si>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</si>
  <si>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</si>
  <si>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</si>
  <si>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</si>
  <si>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</si>
  <si>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</si>
  <si>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</si>
  <si>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</si>
  <si>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</si>
  <si>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</si>
  <si>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</si>
  <si>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</si>
  <si>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</si>
  <si>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</si>
  <si>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</si>
  <si>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</si>
  <si>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</si>
  <si>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</si>
  <si>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</si>
  <si>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</si>
  <si>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</si>
  <si>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</si>
  <si>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</si>
  <si>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</si>
  <si>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</si>
  <si>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</si>
  <si>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</si>
  <si>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</si>
  <si>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</si>
  <si>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</si>
  <si>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</si>
  <si>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</si>
  <si>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</si>
  <si>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</si>
  <si>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</si>
  <si>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</si>
  <si>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</si>
  <si>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</si>
  <si>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</si>
  <si>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</si>
  <si>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</si>
  <si>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</si>
  <si>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</si>
  <si>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</si>
  <si>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</si>
  <si>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</si>
  <si>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</si>
  <si>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</si>
  <si>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</si>
  <si>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</si>
  <si>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</si>
  <si>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</si>
  <si>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</si>
  <si>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</si>
  <si>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</si>
  <si>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</si>
  <si>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</si>
  <si>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</si>
  <si>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</si>
  <si>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</si>
  <si>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</si>
  <si>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</si>
  <si>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</si>
  <si>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</si>
  <si>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</si>
  <si>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</si>
  <si>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</si>
  <si>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</si>
  <si>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</si>
  <si>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</si>
  <si>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</si>
  <si>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</si>
  <si>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</si>
  <si>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</si>
  <si>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</si>
  <si>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</si>
  <si>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</si>
  <si>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</si>
  <si>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</si>
  <si>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</si>
  <si>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</si>
  <si>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</si>
  <si>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</si>
  <si>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</si>
  <si>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</si>
  <si>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</si>
  <si>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</si>
  <si>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</si>
  <si>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</si>
  <si>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</si>
  <si>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</si>
  <si>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</si>
  <si>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</si>
  <si>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</si>
  <si>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</si>
  <si>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</si>
  <si>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</si>
  <si>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</si>
  <si>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</si>
  <si>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</si>
  <si>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</si>
  <si>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</si>
  <si>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</si>
  <si>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</si>
  <si>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</si>
  <si>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</si>
  <si>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</si>
  <si>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</si>
  <si>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</si>
  <si>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</si>
  <si>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</si>
  <si>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</si>
  <si>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</si>
  <si>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</si>
  <si>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</si>
  <si>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</si>
  <si>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</si>
  <si>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</si>
  <si>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</si>
  <si>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</si>
  <si>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</si>
  <si>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</si>
  <si>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</si>
  <si>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</si>
  <si>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</si>
  <si>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</si>
  <si>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</si>
  <si>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</si>
  <si>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</si>
  <si>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</si>
  <si>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</si>
  <si>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</si>
  <si>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</si>
  <si>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</si>
  <si>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</si>
  <si>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</si>
  <si>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</si>
  <si>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</si>
  <si>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</si>
  <si>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</si>
  <si>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</si>
  <si>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</si>
  <si>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</si>
  <si>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</si>
  <si>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</si>
  <si>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</si>
  <si>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</si>
  <si>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</si>
  <si>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</si>
  <si>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</si>
  <si>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</si>
  <si>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</si>
  <si>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</si>
  <si>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</si>
  <si>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</si>
  <si>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</si>
  <si>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</si>
  <si>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</si>
  <si>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</si>
  <si>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</si>
  <si>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</si>
  <si>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</si>
  <si>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</si>
  <si>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</si>
  <si>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</si>
  <si>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</si>
  <si>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</si>
  <si>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</si>
  <si>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</si>
  <si>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</si>
  <si>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</si>
  <si>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</si>
  <si>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</si>
  <si>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</si>
  <si>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</si>
  <si>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</si>
  <si>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</si>
  <si>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</si>
  <si>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</si>
  <si>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</si>
  <si>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</si>
  <si>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</si>
  <si>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</si>
  <si>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</si>
  <si>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</si>
  <si>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</si>
  <si>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</si>
  <si>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</si>
  <si>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</si>
  <si>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</si>
  <si>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</si>
  <si>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</si>
  <si>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</si>
  <si>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</si>
  <si>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</si>
  <si>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</si>
  <si>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</si>
  <si>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</si>
  <si>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</si>
  <si>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</si>
  <si>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</si>
  <si>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</si>
  <si>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</si>
  <si>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</si>
  <si>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</si>
  <si>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</si>
  <si>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</si>
  <si>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</si>
  <si>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</si>
  <si>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</si>
  <si>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</si>
  <si>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</si>
  <si>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</si>
  <si>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</si>
  <si>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</si>
  <si>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</si>
  <si>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</si>
  <si>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</si>
  <si>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</si>
  <si>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</si>
  <si>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</si>
  <si>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</si>
  <si>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</si>
  <si>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</si>
  <si>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</si>
  <si>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</si>
  <si>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</si>
  <si>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</si>
  <si>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</si>
  <si>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</si>
  <si>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</si>
  <si>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</si>
  <si>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</si>
  <si>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</si>
  <si>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</si>
  <si>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</si>
  <si>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</si>
  <si>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</si>
  <si>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</si>
  <si>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</si>
  <si>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</si>
  <si>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</si>
  <si>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</si>
  <si>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</si>
  <si>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</si>
  <si>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</si>
  <si>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</si>
  <si>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</si>
  <si>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</si>
  <si>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</si>
  <si>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</si>
  <si>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</si>
  <si>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</si>
  <si>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</si>
  <si>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</si>
  <si>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</si>
  <si>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</si>
  <si>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</si>
  <si>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</si>
  <si>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</si>
  <si>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</si>
  <si>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</si>
  <si>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</si>
  <si>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</si>
  <si>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</si>
  <si>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</si>
  <si>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</si>
  <si>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</si>
  <si>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</si>
  <si>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</si>
  <si>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</si>
  <si>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</si>
  <si>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</si>
  <si>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</si>
  <si>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</si>
  <si>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</si>
  <si>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</si>
  <si>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</si>
  <si>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</si>
  <si>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</si>
  <si>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</si>
  <si>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</si>
  <si>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</si>
  <si>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</si>
  <si>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</si>
  <si>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</si>
  <si>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</si>
  <si>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</si>
  <si>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</si>
  <si>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</si>
  <si>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</si>
  <si>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</si>
  <si>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</si>
  <si>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</si>
  <si>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</si>
  <si>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</si>
  <si>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</si>
  <si>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</si>
  <si>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</si>
  <si>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</si>
  <si>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</si>
  <si>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</si>
  <si>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</si>
  <si>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</si>
  <si>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</si>
  <si>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</si>
  <si>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</si>
  <si>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</si>
  <si>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</si>
  <si>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</si>
  <si>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</si>
  <si>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</si>
  <si>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</si>
  <si>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</si>
  <si>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</si>
  <si>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</si>
  <si>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</si>
  <si>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</si>
  <si>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</si>
  <si>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</si>
  <si>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</si>
  <si>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</si>
  <si>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</si>
  <si>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</si>
  <si>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</si>
  <si>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</si>
  <si>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</si>
  <si>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</si>
  <si>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</si>
  <si>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</si>
  <si>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</si>
  <si>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</si>
  <si>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</si>
  <si>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</si>
  <si>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</si>
  <si>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</si>
  <si>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</si>
  <si>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</si>
  <si>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</si>
  <si>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</si>
  <si>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</si>
  <si>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</si>
  <si>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</si>
  <si>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</si>
  <si>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</si>
  <si>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</si>
  <si>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</si>
  <si>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</si>
  <si>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</si>
  <si>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</si>
  <si>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</si>
  <si>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</si>
  <si>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</si>
  <si>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</si>
  <si>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</si>
  <si>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</si>
  <si>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</si>
  <si>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</si>
  <si>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</si>
  <si>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</si>
  <si>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</si>
  <si>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</si>
  <si>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</si>
  <si>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</si>
  <si>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</si>
  <si>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</si>
  <si>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</si>
  <si>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</si>
  <si>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</si>
  <si>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</si>
  <si>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</si>
  <si>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</si>
  <si>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</si>
  <si>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</si>
  <si>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</si>
  <si>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</si>
  <si>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</si>
  <si>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</si>
  <si>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</si>
  <si>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</si>
  <si>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</si>
  <si>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</si>
  <si>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</si>
  <si>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</si>
  <si>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</si>
  <si>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</si>
  <si>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</si>
  <si>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</si>
  <si>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</si>
  <si>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</si>
  <si>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</si>
  <si>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</si>
  <si>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</si>
  <si>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</si>
  <si>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</si>
  <si>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</si>
  <si>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</si>
  <si>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</si>
  <si>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</si>
  <si>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</si>
  <si>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</si>
  <si>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</si>
  <si>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</si>
  <si>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</si>
  <si>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</si>
  <si>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</si>
  <si>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</si>
  <si>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</si>
  <si>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</si>
  <si>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</si>
  <si>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</si>
  <si>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</si>
  <si>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</si>
  <si>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</si>
  <si>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</si>
  <si>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</si>
  <si>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</si>
  <si>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</si>
  <si>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</si>
  <si>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</si>
  <si>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</si>
  <si>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</si>
  <si>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</si>
  <si>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</si>
  <si>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</si>
  <si>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</si>
  <si>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</si>
  <si>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</si>
  <si>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</si>
  <si>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</si>
  <si>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</si>
  <si>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</si>
  <si>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</si>
  <si>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</si>
  <si>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</si>
  <si>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</si>
  <si>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</si>
  <si>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</si>
  <si>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</si>
  <si>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</si>
  <si>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</si>
  <si>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</si>
  <si>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</si>
  <si>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</si>
  <si>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</si>
  <si>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</si>
  <si>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</si>
  <si>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</si>
  <si>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</si>
  <si>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</si>
  <si>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</si>
  <si>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</si>
  <si>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</si>
  <si>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</si>
  <si>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</si>
  <si>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</si>
  <si>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</si>
  <si>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</si>
  <si>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</si>
  <si>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</si>
  <si>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</si>
  <si>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</si>
  <si>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</si>
  <si>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</si>
  <si>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</si>
  <si>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</si>
  <si>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</si>
  <si>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</si>
  <si>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</si>
  <si>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</si>
  <si>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</si>
  <si>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</si>
  <si>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</si>
  <si>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</si>
  <si>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</si>
  <si>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</si>
  <si>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</si>
  <si>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</si>
  <si>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</si>
  <si>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</si>
  <si>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</si>
  <si>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</si>
  <si>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</si>
  <si>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</si>
  <si>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</si>
  <si>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</si>
  <si>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</si>
  <si>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</si>
  <si>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</si>
  <si>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</si>
  <si>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</si>
  <si>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</si>
  <si>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</si>
  <si>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</si>
  <si>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</si>
  <si>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</si>
  <si>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</si>
  <si>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</si>
  <si>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</si>
  <si>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</si>
  <si>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</si>
  <si>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</si>
  <si>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</si>
  <si>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</si>
  <si>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</si>
  <si>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</si>
  <si>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</si>
  <si>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</si>
  <si>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</si>
  <si>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</si>
  <si>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</si>
  <si>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</si>
  <si>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</si>
  <si>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</si>
  <si>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</si>
  <si>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</si>
  <si>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</si>
  <si>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</si>
  <si>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</si>
  <si>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</si>
  <si>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</si>
  <si>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</si>
  <si>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</si>
  <si>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</si>
  <si>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</si>
  <si>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</si>
  <si>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</si>
  <si>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</si>
  <si>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</si>
  <si>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</si>
  <si>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</si>
  <si>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</si>
  <si>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</si>
  <si>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</si>
  <si>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</si>
  <si>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</si>
  <si>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</si>
  <si>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</si>
  <si>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</si>
  <si>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</si>
  <si>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</si>
  <si>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</si>
  <si>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</si>
  <si>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</si>
  <si>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</si>
  <si>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</si>
  <si>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</si>
  <si>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</si>
  <si>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</si>
  <si>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</si>
  <si>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</si>
  <si>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</si>
  <si>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</si>
  <si>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</si>
  <si>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</si>
  <si>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</si>
  <si>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</si>
  <si>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</si>
  <si>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</si>
  <si>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</si>
  <si>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</si>
  <si>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</si>
  <si>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</si>
  <si>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</si>
  <si>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</si>
  <si>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</si>
  <si>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</si>
  <si>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</si>
  <si>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</si>
  <si>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</si>
  <si>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</si>
  <si>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</si>
  <si>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</si>
  <si>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</si>
  <si>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</si>
  <si>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</si>
  <si>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</si>
  <si>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</si>
  <si>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</si>
  <si>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</si>
  <si>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</si>
  <si>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</si>
  <si>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</si>
  <si>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</si>
  <si>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</si>
  <si>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</si>
  <si>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</si>
  <si>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</si>
  <si>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</si>
  <si>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</si>
  <si>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</si>
  <si>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</si>
  <si>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</si>
  <si>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</si>
  <si>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</si>
  <si>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</si>
  <si>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</si>
  <si>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</si>
  <si>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</si>
  <si>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</si>
  <si>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</si>
  <si>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</si>
  <si>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</si>
  <si>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</si>
  <si>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</si>
  <si>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</si>
  <si>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</si>
  <si>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</si>
  <si>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</si>
  <si>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</si>
  <si>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</si>
  <si>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</si>
  <si>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</si>
  <si>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</si>
  <si>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</si>
  <si>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</si>
  <si>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</si>
  <si>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</si>
  <si>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</si>
  <si>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</si>
  <si>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</si>
  <si>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</si>
  <si>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</si>
  <si>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</si>
  <si>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</si>
  <si>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</si>
  <si>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</si>
  <si>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</si>
  <si>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</si>
  <si>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</si>
  <si>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</si>
  <si>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</si>
  <si>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</si>
  <si>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</si>
  <si>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</si>
  <si>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</si>
  <si>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</si>
  <si>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</si>
  <si>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</si>
  <si>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</si>
  <si>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</si>
  <si>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</si>
  <si>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</si>
  <si>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</si>
  <si>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</si>
  <si>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</si>
  <si>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</si>
  <si>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</si>
  <si>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</si>
  <si>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</si>
  <si>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</si>
  <si>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</si>
  <si>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</si>
  <si>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</si>
  <si>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</si>
  <si>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</si>
  <si>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</si>
  <si>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</si>
  <si>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</si>
  <si>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</si>
  <si>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</si>
  <si>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</si>
  <si>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</si>
  <si>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</si>
  <si>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</si>
  <si>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</si>
  <si>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</si>
  <si>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</si>
  <si>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</si>
  <si>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</si>
  <si>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</si>
  <si>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</si>
  <si>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</si>
  <si>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</si>
  <si>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</si>
  <si>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</si>
  <si>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</si>
  <si>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</si>
  <si>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</si>
  <si>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</si>
  <si>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</si>
  <si>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</si>
  <si>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</si>
  <si>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</si>
  <si>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</si>
  <si>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</si>
  <si>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</si>
  <si>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</si>
  <si>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</si>
  <si>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</si>
  <si>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</si>
  <si>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</si>
  <si>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</si>
  <si>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</si>
  <si>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</si>
  <si>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</si>
  <si>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</si>
  <si>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</si>
  <si>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</si>
  <si>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</si>
  <si>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</si>
  <si>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</si>
  <si>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</si>
  <si>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</si>
  <si>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</si>
  <si>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</si>
  <si>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</si>
  <si>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</si>
  <si>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</si>
  <si>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</si>
  <si>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</si>
  <si>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</si>
  <si>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</si>
  <si>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</si>
  <si>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</si>
  <si>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</si>
  <si>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</si>
  <si>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</si>
  <si>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</si>
  <si>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</si>
  <si>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</si>
  <si>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</si>
  <si>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</si>
  <si>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</si>
  <si>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</si>
  <si>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</si>
  <si>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</si>
  <si>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</si>
  <si>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</si>
  <si>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</si>
  <si>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</si>
  <si>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</si>
  <si>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</si>
  <si>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</si>
  <si>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</si>
  <si>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</si>
  <si>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</si>
  <si>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</si>
  <si>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</si>
  <si>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</si>
  <si>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</si>
  <si>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</si>
  <si>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</si>
  <si>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</si>
  <si>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</si>
  <si>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</si>
  <si>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</si>
  <si>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</si>
  <si>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</si>
  <si>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</si>
  <si>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</si>
  <si>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</si>
  <si>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</si>
  <si>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</si>
  <si>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</si>
  <si>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</si>
  <si>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</si>
  <si>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</si>
  <si>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</si>
  <si>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</si>
  <si>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</si>
  <si>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</si>
  <si>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</si>
  <si>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</si>
  <si>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</si>
  <si>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</si>
  <si>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</si>
  <si>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</si>
  <si>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</si>
  <si>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</si>
  <si>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</si>
  <si>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</si>
  <si>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</si>
  <si>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</si>
  <si>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</si>
  <si>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</si>
  <si>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</si>
  <si>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</si>
  <si>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</si>
  <si>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</si>
  <si>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</si>
  <si>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</si>
  <si>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</si>
  <si>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</si>
  <si>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</si>
  <si>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</si>
  <si>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</si>
  <si>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</si>
  <si>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</si>
  <si>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</si>
  <si>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</si>
  <si>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</si>
  <si>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</si>
  <si>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</si>
  <si>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</si>
  <si>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</si>
  <si>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</si>
  <si>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</si>
  <si>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</si>
  <si>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</si>
  <si>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</si>
  <si>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</si>
  <si>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</si>
  <si>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</si>
  <si>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</si>
  <si>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</si>
  <si>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</si>
  <si>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</si>
  <si>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</si>
  <si>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</si>
  <si>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</si>
  <si>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</si>
  <si>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</si>
  <si>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</si>
  <si>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</si>
  <si>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</si>
  <si>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</si>
  <si>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</si>
  <si>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</si>
  <si>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</si>
  <si>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</si>
  <si>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</si>
  <si>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</si>
  <si>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</si>
  <si>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</si>
  <si>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</si>
  <si>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</si>
  <si>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</si>
  <si>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</si>
  <si>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</si>
  <si>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</si>
  <si>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</si>
  <si>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</si>
  <si>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</si>
  <si>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</si>
  <si>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</si>
  <si>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</si>
  <si>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</si>
  <si>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</si>
  <si>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</si>
  <si>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</si>
  <si>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</si>
  <si>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</si>
  <si>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</si>
  <si>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</si>
  <si>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</si>
  <si>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</si>
  <si>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</si>
  <si>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</si>
  <si>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</si>
  <si>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</si>
  <si>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</si>
  <si>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</si>
  <si>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</si>
  <si>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</si>
  <si>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</si>
  <si>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</si>
  <si>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</si>
  <si>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</si>
  <si>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</si>
  <si>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</si>
  <si>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</si>
  <si>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</si>
  <si>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</si>
  <si>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</si>
  <si>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</si>
  <si>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</si>
  <si>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</si>
  <si>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</si>
  <si>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</si>
  <si>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</si>
  <si>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</si>
  <si>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</si>
  <si>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</si>
  <si>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</si>
  <si>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</si>
  <si>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</si>
  <si>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</si>
  <si>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</si>
  <si>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</si>
  <si>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</si>
  <si>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</si>
  <si>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</si>
  <si>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</si>
  <si>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</si>
  <si>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</si>
  <si>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</si>
  <si>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</si>
  <si>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</si>
  <si>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</si>
  <si>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</si>
  <si>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</si>
  <si>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</si>
  <si>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</si>
  <si>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</si>
  <si>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</si>
  <si>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</si>
  <si>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</si>
  <si>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</si>
  <si>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</si>
  <si>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</si>
  <si>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</si>
  <si>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</si>
  <si>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</si>
  <si>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</si>
  <si>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</si>
  <si>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</si>
  <si>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</si>
  <si>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</si>
  <si>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</si>
  <si>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</si>
  <si>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</si>
  <si>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</si>
  <si>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</si>
  <si>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</si>
  <si>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</si>
  <si>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</si>
  <si>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</si>
  <si>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</si>
  <si>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</si>
  <si>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</si>
  <si>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</si>
  <si>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</si>
  <si>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</si>
  <si>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</si>
  <si>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</si>
  <si>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</si>
  <si>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</si>
  <si>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</si>
  <si>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</si>
  <si>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</si>
  <si>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</si>
  <si>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</si>
  <si>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</si>
  <si>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</si>
  <si>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</si>
  <si>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</si>
  <si>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</si>
  <si>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</si>
  <si>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</si>
  <si>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</si>
  <si>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</si>
  <si>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</si>
  <si>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</si>
  <si>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</si>
  <si>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</si>
  <si>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</si>
  <si>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</si>
  <si>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</si>
  <si>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</si>
  <si>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</si>
  <si>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</si>
  <si>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</si>
  <si>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</si>
  <si>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</si>
  <si>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</si>
  <si>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</si>
  <si>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</si>
  <si>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</si>
  <si>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</si>
  <si>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</si>
  <si>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</si>
  <si>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</si>
  <si>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</si>
  <si>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</si>
  <si>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</si>
  <si>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</si>
  <si>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</si>
  <si>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</si>
  <si>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</si>
  <si>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</si>
  <si>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</si>
  <si>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</si>
  <si>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</si>
  <si>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</si>
  <si>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</si>
  <si>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</si>
  <si>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</si>
  <si>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</si>
  <si>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</si>
  <si>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</si>
  <si>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</si>
  <si>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</si>
  <si>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</si>
  <si>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</si>
  <si>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</si>
  <si>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</si>
  <si>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</si>
  <si>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</si>
  <si>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</si>
  <si>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</si>
  <si>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</si>
  <si>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</si>
  <si>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</si>
  <si>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</si>
  <si>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</si>
  <si>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</si>
  <si>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</si>
  <si>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</si>
  <si>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</si>
  <si>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</si>
  <si>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</si>
  <si>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</si>
  <si>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</si>
  <si>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</si>
  <si>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</si>
  <si>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</si>
  <si>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</si>
  <si>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</si>
  <si>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</si>
  <si>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</si>
  <si>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</si>
  <si>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</si>
  <si>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</si>
  <si>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</si>
  <si>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</si>
  <si>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</si>
  <si>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</si>
  <si>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</si>
  <si>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</si>
  <si>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</si>
  <si>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</si>
  <si>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</si>
  <si>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</si>
  <si>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</si>
  <si>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</si>
  <si>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</si>
  <si>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</si>
  <si>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</si>
  <si>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</si>
  <si>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</si>
  <si>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</si>
  <si>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</si>
  <si>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</si>
  <si>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</si>
  <si>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</si>
  <si>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</si>
  <si>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</si>
  <si>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</si>
  <si>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</si>
  <si>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</si>
  <si>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</si>
  <si>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</si>
  <si>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</si>
  <si>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</si>
  <si>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</si>
  <si>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</si>
  <si>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</si>
  <si>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</si>
  <si>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</si>
  <si>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</si>
  <si>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</si>
  <si>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</si>
  <si>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</si>
  <si>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</si>
  <si>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</si>
  <si>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</si>
  <si>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</si>
  <si>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</si>
  <si>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</si>
  <si>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</si>
  <si>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</si>
  <si>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</si>
  <si>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</si>
  <si>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</si>
  <si>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</si>
  <si>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</si>
  <si>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</si>
  <si>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</si>
  <si>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</si>
  <si>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</si>
  <si>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</si>
  <si>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</si>
  <si>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</si>
  <si>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</si>
  <si>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</si>
  <si>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</si>
  <si>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</si>
  <si>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</si>
  <si>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</si>
  <si>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</si>
  <si>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</si>
  <si>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</si>
  <si>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</si>
  <si>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</si>
  <si>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</si>
  <si>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</si>
  <si>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</si>
  <si>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</si>
  <si>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</si>
  <si>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</si>
  <si>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</si>
  <si>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</si>
  <si>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</si>
  <si>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</si>
  <si>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</si>
  <si>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</si>
  <si>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</si>
  <si>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</si>
  <si>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</si>
  <si>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</si>
  <si>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</si>
  <si>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</si>
  <si>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</si>
  <si>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</si>
  <si>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</si>
  <si>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</si>
  <si>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</si>
  <si>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</si>
  <si>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</si>
  <si>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</si>
  <si>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</si>
  <si>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</si>
  <si>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</si>
  <si>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</si>
  <si>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</si>
  <si>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</si>
  <si>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</si>
  <si>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</si>
  <si>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</si>
  <si>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</si>
  <si>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</si>
  <si>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</si>
  <si>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</si>
  <si>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</si>
  <si>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</si>
  <si>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</si>
  <si>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</si>
  <si>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</si>
  <si>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</si>
  <si>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</si>
  <si>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</si>
  <si>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</si>
  <si>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</si>
  <si>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</si>
  <si>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</si>
  <si>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</si>
  <si>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</si>
  <si>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</si>
  <si>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</si>
  <si>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</si>
  <si>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</si>
  <si>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</si>
  <si>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</si>
  <si>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</si>
  <si>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</si>
  <si>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</si>
  <si>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</si>
  <si>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</si>
  <si>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</si>
  <si>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</si>
  <si>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</si>
  <si>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</si>
  <si>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</si>
  <si>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</si>
  <si>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</si>
  <si>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</si>
  <si>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</si>
  <si>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</si>
  <si>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</si>
  <si>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</si>
  <si>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</si>
  <si>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</si>
  <si>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</si>
  <si>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</si>
  <si>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</si>
  <si>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</si>
  <si>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</si>
  <si>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</si>
  <si>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</si>
  <si>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</si>
  <si>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</si>
  <si>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</si>
  <si>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</si>
  <si>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</si>
  <si>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</si>
  <si>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</si>
  <si>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</si>
  <si>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</si>
  <si>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</si>
  <si>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</si>
  <si>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</si>
  <si>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</si>
  <si>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</si>
  <si>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</si>
  <si>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</si>
  <si>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</si>
  <si>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</si>
  <si>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</si>
  <si>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</si>
  <si>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</si>
  <si>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</si>
  <si>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</si>
  <si>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</si>
  <si>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</si>
  <si>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</si>
  <si>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</si>
  <si>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</si>
  <si>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</si>
  <si>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</si>
  <si>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</si>
  <si>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</si>
  <si>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</si>
  <si>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</si>
  <si>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</si>
  <si>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</si>
  <si>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</si>
  <si>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</si>
  <si>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</si>
  <si>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</si>
  <si>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</si>
  <si>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</si>
  <si>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</si>
  <si>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</si>
  <si>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</si>
  <si>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</si>
  <si>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</si>
  <si>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</si>
  <si>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</si>
  <si>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</si>
  <si>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</si>
  <si>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</si>
  <si>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</si>
  <si>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</si>
  <si>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</si>
  <si>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</si>
  <si>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</si>
  <si>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</si>
  <si>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</si>
  <si>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</si>
  <si>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</si>
  <si>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</si>
  <si>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</si>
  <si>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</si>
  <si>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</si>
  <si>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</si>
  <si>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</si>
  <si>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</si>
  <si>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</si>
  <si>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</si>
  <si>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</si>
  <si>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</si>
  <si>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</si>
  <si>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</si>
  <si>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</si>
  <si>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</si>
  <si>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</si>
  <si>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</si>
  <si>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</si>
  <si>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</si>
  <si>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</si>
  <si>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</si>
  <si>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</si>
  <si>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</si>
  <si>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</si>
  <si>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</si>
  <si>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</si>
  <si>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</si>
  <si>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</si>
  <si>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</si>
  <si>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</si>
  <si>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</si>
  <si>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</si>
  <si>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</si>
  <si>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</si>
  <si>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</si>
  <si>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</si>
  <si>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</si>
  <si>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</si>
  <si>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</si>
  <si>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</si>
  <si>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</si>
  <si>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</si>
  <si>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</si>
  <si>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</si>
  <si>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</si>
  <si>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</si>
  <si>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</si>
  <si>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</si>
  <si>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</si>
  <si>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</si>
  <si>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</si>
  <si>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</si>
  <si>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</si>
  <si>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</si>
  <si>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</si>
  <si>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</si>
  <si>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</si>
  <si>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</si>
  <si>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</si>
  <si>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</si>
  <si>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</si>
  <si>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</si>
  <si>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</si>
  <si>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</si>
  <si>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</si>
  <si>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</si>
  <si>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</si>
  <si>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</si>
  <si>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</si>
  <si>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</si>
  <si>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</si>
  <si>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</si>
  <si>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</si>
  <si>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</si>
  <si>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</si>
  <si>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</si>
  <si>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</si>
  <si>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</si>
  <si>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</si>
  <si>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</si>
  <si>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</si>
  <si>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</si>
  <si>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</si>
  <si>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</si>
  <si>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</si>
  <si>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</si>
  <si>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</si>
  <si>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</si>
  <si>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</si>
  <si>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</si>
  <si>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</si>
  <si>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</si>
  <si>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</si>
  <si>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</si>
  <si>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</si>
  <si>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</si>
  <si>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</si>
  <si>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</si>
  <si>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</si>
  <si>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</si>
  <si>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</si>
  <si>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</si>
  <si>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</si>
  <si>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</si>
  <si>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</si>
  <si>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</si>
  <si>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</si>
  <si>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</si>
  <si>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</si>
  <si>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</si>
  <si>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</si>
  <si>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</si>
  <si>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</si>
  <si>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</si>
  <si>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</si>
  <si>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</si>
  <si>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</si>
  <si>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</si>
  <si>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</si>
  <si>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</si>
  <si>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</si>
  <si>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</si>
  <si>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</si>
  <si>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</si>
  <si>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</si>
  <si>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</si>
  <si>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</si>
  <si>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</si>
  <si>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</si>
  <si>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</si>
  <si>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</si>
  <si>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</si>
  <si>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</si>
  <si>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</si>
  <si>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</si>
  <si>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</si>
  <si>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</si>
  <si>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</si>
  <si>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</si>
  <si>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</si>
  <si>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</si>
  <si>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</si>
  <si>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</si>
  <si>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</si>
  <si>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</si>
  <si>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</si>
  <si>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</si>
  <si>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</si>
  <si>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</si>
  <si>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</si>
  <si>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</si>
  <si>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</si>
  <si>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</si>
  <si>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</si>
  <si>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</si>
  <si>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</si>
  <si>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</si>
  <si>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</si>
  <si>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</si>
  <si>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</si>
  <si>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</si>
  <si>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</si>
  <si>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</si>
  <si>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</si>
  <si>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</si>
  <si>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</si>
  <si>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</si>
  <si>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</si>
  <si>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</si>
  <si>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</si>
  <si>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</si>
  <si>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</si>
  <si>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</si>
  <si>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</si>
  <si>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</si>
  <si>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</si>
  <si>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</si>
  <si>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</si>
  <si>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</si>
  <si>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</si>
  <si>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</si>
  <si>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</si>
  <si>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</si>
  <si>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</si>
  <si>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</si>
  <si>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</si>
  <si>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</si>
  <si>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</si>
  <si>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</si>
  <si>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</si>
  <si>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</si>
  <si>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</si>
  <si>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</si>
  <si>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</si>
  <si>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</si>
  <si>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</si>
  <si>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</si>
  <si>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</si>
  <si>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</si>
  <si>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</si>
  <si>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</si>
  <si>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</si>
  <si>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</si>
  <si>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</si>
  <si>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</si>
  <si>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</si>
  <si>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</si>
  <si>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</si>
  <si>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</si>
  <si>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</si>
  <si>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</si>
  <si>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</si>
  <si>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</si>
  <si>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</si>
  <si>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</si>
  <si>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</si>
  <si>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</si>
  <si>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</si>
  <si>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</si>
  <si>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</si>
  <si>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</si>
  <si>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</si>
  <si>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</si>
  <si>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</si>
  <si>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</si>
  <si>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</si>
  <si>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</si>
  <si>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</si>
  <si>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</si>
  <si>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</si>
  <si>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</si>
  <si>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</si>
  <si>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</si>
  <si>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</si>
  <si>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</si>
  <si>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</si>
  <si>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</si>
  <si>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</si>
  <si>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</si>
  <si>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</si>
  <si>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</si>
  <si>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</si>
  <si>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</si>
  <si>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</si>
  <si>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</si>
  <si>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</si>
  <si>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</si>
  <si>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</si>
  <si>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</si>
  <si>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</si>
  <si>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</si>
  <si>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</si>
  <si>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</si>
  <si>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</si>
  <si>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</si>
  <si>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</si>
  <si>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</si>
  <si>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</si>
  <si>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</si>
  <si>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</si>
  <si>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</si>
  <si>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</si>
  <si>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</si>
  <si>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</si>
  <si>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</si>
  <si>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</si>
  <si>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</si>
  <si>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</si>
  <si>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</si>
  <si>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</si>
  <si>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</si>
  <si>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</si>
  <si>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</si>
  <si>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</si>
  <si>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</si>
  <si>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</si>
  <si>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</si>
  <si>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</si>
  <si>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</si>
  <si>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</si>
  <si>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</si>
  <si>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</si>
  <si>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</si>
  <si>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</si>
  <si>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</si>
  <si>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</si>
  <si>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</si>
  <si>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</si>
  <si>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</si>
  <si>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</si>
  <si>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</si>
  <si>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</si>
  <si>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</si>
  <si>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</si>
  <si>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</si>
  <si>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</si>
  <si>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</si>
  <si>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</si>
  <si>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</si>
  <si>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</si>
  <si>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</si>
  <si>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</si>
  <si>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</si>
  <si>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</si>
  <si>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</si>
  <si>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</si>
  <si>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</si>
  <si>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</si>
  <si>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</si>
  <si>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</si>
  <si>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</si>
  <si>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</si>
  <si>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</si>
  <si>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</si>
  <si>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</si>
  <si>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</si>
  <si>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</si>
  <si>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</si>
  <si>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</si>
  <si>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</si>
  <si>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</si>
  <si>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</si>
  <si>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</si>
  <si>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</si>
  <si>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</si>
  <si>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</si>
  <si>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</si>
  <si>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</si>
  <si>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</si>
  <si>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</si>
  <si>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</si>
  <si>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</si>
  <si>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</si>
  <si>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</si>
  <si>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</si>
  <si>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</si>
  <si>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</si>
  <si>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</si>
  <si>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</si>
  <si>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</si>
  <si>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</si>
  <si>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</si>
  <si>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</si>
  <si>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</si>
  <si>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</si>
  <si>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</si>
  <si>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</si>
  <si>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</si>
  <si>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</si>
  <si>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</si>
  <si>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</si>
  <si>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</si>
  <si>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</si>
  <si>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</si>
  <si>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</si>
  <si>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</si>
  <si>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</si>
  <si>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</si>
  <si>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</si>
  <si>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</si>
  <si>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</si>
  <si>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</si>
  <si>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</si>
  <si>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</si>
  <si>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</si>
  <si>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</si>
  <si>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</si>
  <si>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</si>
  <si>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</si>
  <si>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</si>
  <si>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</si>
  <si>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</si>
  <si>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</si>
  <si>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</si>
  <si>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</si>
  <si>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</si>
  <si>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</si>
  <si>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</si>
  <si>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</si>
  <si>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</si>
  <si>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</si>
  <si>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</si>
  <si>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</si>
  <si>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</si>
  <si>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</si>
  <si>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</si>
  <si>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</si>
  <si>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</si>
  <si>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</si>
  <si>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</si>
  <si>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</si>
  <si>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</si>
  <si>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</si>
  <si>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</si>
  <si>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</si>
  <si>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</si>
  <si>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</si>
  <si>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</si>
  <si>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</si>
  <si>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</si>
  <si>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</si>
  <si>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</si>
  <si>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</si>
  <si>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</si>
  <si>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</si>
  <si>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</si>
  <si>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</si>
  <si>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</si>
  <si>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</si>
  <si>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</si>
  <si>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</si>
  <si>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</si>
  <si>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</si>
  <si>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</si>
  <si>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</si>
  <si>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</si>
  <si>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</si>
  <si>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</si>
  <si>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</si>
  <si>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</si>
  <si>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</si>
  <si>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</si>
  <si>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</si>
  <si>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</si>
  <si>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</si>
  <si>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</si>
  <si>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</si>
  <si>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</si>
  <si>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</si>
  <si>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</si>
  <si>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</si>
  <si>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</si>
  <si>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</si>
  <si>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</si>
  <si>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</si>
  <si>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</si>
  <si>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</si>
  <si>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</si>
  <si>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</si>
  <si>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</si>
  <si>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</si>
  <si>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</si>
  <si>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</si>
  <si>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</si>
  <si>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</si>
  <si>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</si>
  <si>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</si>
  <si>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</si>
  <si>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</si>
  <si>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</si>
  <si>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</si>
  <si>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</si>
  <si>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</si>
  <si>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</si>
  <si>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</si>
  <si>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</si>
  <si>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</si>
  <si>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</si>
  <si>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</si>
  <si>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</si>
  <si>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</si>
  <si>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</si>
  <si>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</si>
  <si>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</si>
  <si>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</si>
  <si>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</si>
  <si>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</si>
  <si>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</si>
  <si>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</si>
  <si>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</si>
  <si>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</si>
  <si>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</si>
  <si>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</si>
  <si>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</si>
  <si>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</si>
  <si>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</si>
  <si>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</si>
  <si>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</si>
  <si>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</si>
  <si>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</si>
  <si>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</si>
  <si>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</si>
  <si>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</si>
  <si>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</si>
  <si>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</si>
  <si>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</si>
  <si>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</si>
  <si>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</si>
  <si>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</si>
  <si>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</si>
  <si>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</si>
  <si>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</si>
  <si>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</si>
  <si>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</si>
  <si>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</si>
  <si>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</si>
  <si>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</si>
  <si>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</si>
  <si>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</si>
  <si>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</si>
  <si>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</si>
  <si>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</si>
  <si>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</si>
  <si>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</si>
  <si>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</si>
  <si>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</si>
  <si>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</si>
  <si>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</si>
  <si>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</si>
  <si>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</si>
  <si>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</si>
  <si>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</si>
  <si>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</si>
  <si>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</si>
  <si>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</si>
  <si>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</si>
  <si>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</si>
  <si>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</si>
  <si>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</si>
  <si>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</si>
  <si>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</si>
  <si>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</si>
  <si>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</si>
  <si>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</si>
  <si>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</si>
  <si>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</si>
  <si>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</si>
  <si>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</si>
  <si>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</si>
  <si>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</si>
  <si>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</si>
  <si>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</si>
  <si>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</si>
  <si>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</si>
  <si>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</si>
  <si>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</si>
  <si>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</si>
  <si>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</si>
  <si>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</si>
  <si>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</si>
  <si>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</si>
  <si>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</si>
  <si>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</si>
  <si>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</si>
  <si>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</si>
  <si>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</si>
  <si>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</si>
  <si>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</si>
  <si>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</si>
  <si>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</si>
  <si>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</si>
  <si>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</si>
  <si>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</si>
  <si>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</si>
  <si>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</si>
  <si>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</si>
  <si>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</si>
  <si>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</si>
  <si>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</si>
  <si>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</si>
  <si>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</si>
  <si>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</si>
  <si>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</si>
  <si>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</si>
  <si>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</si>
  <si>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</si>
  <si>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</si>
  <si>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</si>
  <si>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</si>
  <si>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</si>
  <si>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</si>
  <si>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</si>
  <si>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</si>
  <si>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</si>
  <si>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</si>
  <si>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</si>
  <si>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</si>
  <si>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</si>
  <si>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</si>
  <si>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</si>
  <si>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</si>
  <si>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</si>
  <si>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</si>
  <si>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</si>
  <si>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</si>
  <si>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</si>
  <si>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</si>
  <si>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</si>
  <si>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</si>
  <si>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</si>
  <si>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</si>
  <si>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</si>
  <si>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</si>
  <si>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</si>
  <si>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</si>
  <si>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</si>
  <si>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</si>
  <si>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</si>
  <si>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</si>
  <si>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</si>
  <si>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</si>
  <si>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</si>
  <si>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</si>
  <si>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</si>
  <si>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</si>
  <si>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</si>
  <si>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</si>
  <si>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</si>
  <si>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</si>
  <si>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</si>
  <si>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</si>
  <si>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</si>
  <si>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</si>
  <si>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</si>
  <si>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</si>
  <si>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</si>
  <si>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</si>
  <si>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</si>
  <si>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</si>
  <si>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</si>
  <si>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</si>
  <si>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</si>
  <si>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</si>
  <si>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</si>
  <si>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</si>
  <si>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</si>
  <si>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</si>
  <si>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</si>
  <si>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</si>
  <si>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</si>
  <si>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</si>
  <si>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</si>
  <si>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</si>
  <si>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</si>
  <si>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</si>
  <si>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</si>
  <si>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</si>
  <si>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</si>
  <si>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</si>
  <si>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</si>
  <si>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</si>
  <si>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</si>
  <si>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</si>
  <si>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</si>
  <si>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</si>
  <si>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</si>
  <si>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</si>
  <si>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</si>
  <si>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</si>
  <si>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</si>
  <si>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</si>
  <si>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</si>
  <si>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</si>
  <si>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</si>
  <si>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</si>
  <si>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</si>
  <si>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</si>
  <si>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</si>
  <si>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</si>
  <si>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</si>
  <si>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</si>
  <si>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</si>
  <si>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</si>
  <si>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</si>
  <si>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</si>
  <si>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</si>
  <si>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</si>
  <si>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</si>
  <si>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</si>
  <si>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</si>
  <si>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</si>
  <si>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</si>
  <si>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</si>
  <si>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</si>
  <si>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</si>
  <si>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</si>
  <si>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</si>
  <si>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</si>
  <si>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</si>
  <si>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</si>
  <si>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</si>
  <si>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</si>
  <si>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</si>
  <si>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</si>
  <si>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</si>
  <si>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</si>
  <si>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</si>
  <si>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</si>
  <si>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</si>
  <si>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</si>
  <si>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</si>
  <si>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</si>
  <si>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</si>
  <si>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</si>
  <si>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</si>
  <si>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</si>
  <si>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</si>
  <si>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</si>
  <si>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</si>
  <si>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</si>
  <si>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</si>
  <si>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</si>
  <si>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</si>
  <si>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</si>
  <si>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</si>
  <si>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</si>
  <si>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</si>
  <si>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</si>
  <si>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</si>
  <si>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</si>
  <si>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</si>
  <si>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</si>
  <si>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</si>
  <si>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</si>
  <si>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</si>
  <si>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</si>
  <si>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</si>
  <si>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</si>
  <si>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</si>
  <si>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</si>
  <si>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</si>
  <si>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</si>
  <si>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</si>
  <si>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</si>
  <si>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</si>
  <si>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</si>
  <si>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</si>
  <si>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</si>
  <si>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</si>
  <si>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</si>
  <si>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</si>
  <si>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</si>
  <si>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</si>
  <si>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</si>
  <si>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</si>
  <si>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</si>
  <si>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</si>
  <si>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</si>
  <si>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</si>
  <si>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</si>
  <si>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</si>
  <si>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</si>
  <si>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</si>
  <si>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</si>
  <si>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</si>
  <si>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</si>
  <si>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</si>
  <si>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</si>
  <si>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</si>
  <si>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</si>
  <si>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</si>
  <si>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</si>
  <si>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</si>
  <si>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</si>
  <si>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</si>
  <si>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</si>
  <si>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</si>
  <si>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</si>
  <si>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</si>
  <si>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</si>
  <si>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</si>
  <si>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</si>
  <si>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</si>
  <si>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</si>
  <si>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</si>
  <si>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</si>
  <si>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</si>
  <si>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</si>
  <si>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</si>
  <si>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</si>
  <si>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</si>
  <si>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</si>
  <si>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</si>
  <si>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</si>
  <si>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</si>
  <si>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</si>
  <si>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</si>
  <si>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</si>
  <si>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</si>
  <si>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</si>
  <si>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</si>
  <si>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</si>
  <si>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</si>
  <si>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</si>
  <si>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</si>
  <si>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</si>
  <si>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</si>
  <si>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</si>
  <si>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</si>
  <si>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</si>
  <si>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</si>
  <si>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</si>
  <si>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</si>
  <si>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</si>
  <si>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</si>
  <si>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</si>
  <si>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</si>
  <si>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</si>
  <si>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</si>
  <si>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</si>
  <si>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</si>
  <si>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</si>
  <si>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</si>
  <si>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</si>
  <si>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</si>
  <si>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</si>
  <si>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</si>
  <si>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</si>
  <si>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</si>
  <si>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</si>
  <si>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</si>
  <si>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</si>
  <si>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</si>
  <si>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</si>
  <si>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</si>
  <si>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</si>
  <si>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</si>
  <si>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</si>
  <si>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</si>
  <si>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</si>
  <si>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</si>
  <si>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</si>
  <si>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</si>
  <si>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</si>
  <si>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</si>
  <si>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</si>
  <si>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</si>
  <si>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</si>
  <si>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</si>
  <si>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</si>
  <si>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</si>
  <si>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</si>
  <si>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</si>
  <si>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</si>
  <si>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</si>
  <si>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</si>
  <si>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</si>
  <si>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</si>
  <si>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</si>
  <si>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</si>
  <si>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</si>
  <si>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</si>
  <si>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</si>
  <si>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</si>
  <si>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</si>
  <si>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</si>
  <si>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</si>
  <si>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</si>
  <si>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</si>
  <si>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</si>
  <si>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</si>
  <si>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</si>
  <si>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</si>
  <si>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</si>
  <si>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</si>
  <si>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</si>
  <si>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</si>
  <si>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</si>
  <si>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</si>
  <si>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</si>
  <si>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</si>
  <si>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</si>
  <si>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</si>
  <si>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</si>
  <si>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</si>
  <si>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</si>
  <si>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</si>
  <si>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</si>
  <si>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</si>
  <si>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</si>
  <si>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</si>
  <si>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</si>
  <si>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</si>
  <si>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</si>
  <si>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</si>
  <si>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</si>
  <si>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</si>
  <si>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</si>
  <si>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</si>
  <si>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</si>
  <si>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</si>
  <si>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</si>
  <si>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</si>
  <si>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</si>
  <si>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</si>
  <si>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</si>
  <si>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</si>
  <si>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</si>
  <si>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</si>
  <si>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</si>
  <si>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</si>
  <si>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</si>
  <si>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</si>
  <si>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</si>
  <si>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</si>
  <si>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</si>
  <si>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</si>
  <si>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</si>
  <si>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</si>
  <si>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</si>
  <si>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</si>
  <si>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</si>
  <si>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</si>
  <si>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</si>
  <si>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</si>
  <si>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</si>
  <si>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</si>
  <si>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</si>
  <si>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</si>
  <si>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</si>
  <si>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</si>
  <si>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</si>
  <si>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</si>
  <si>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</si>
  <si>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</si>
  <si>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</si>
  <si>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</si>
  <si>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</si>
  <si>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</si>
  <si>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</si>
  <si>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</si>
  <si>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</si>
  <si>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</si>
  <si>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</si>
  <si>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</si>
  <si>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</si>
  <si>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</si>
  <si>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</si>
  <si>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</si>
  <si>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</si>
  <si>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</si>
  <si>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</si>
  <si>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</si>
  <si>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</si>
  <si>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</si>
  <si>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</si>
  <si>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</si>
  <si>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</si>
  <si>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</si>
  <si>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</si>
  <si>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</si>
  <si>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</si>
  <si>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</si>
  <si>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</si>
  <si>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</si>
  <si>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</si>
  <si>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</si>
  <si>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</si>
  <si>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</si>
  <si>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</si>
  <si>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</si>
  <si>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</si>
  <si>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</si>
  <si>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</si>
  <si>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</si>
  <si>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</si>
  <si>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</si>
  <si>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</si>
  <si>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</si>
  <si>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</si>
  <si>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</si>
  <si>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</si>
  <si>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</si>
  <si>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</si>
  <si>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</si>
  <si>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</si>
  <si>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</si>
  <si>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</si>
  <si>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</si>
  <si>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</si>
  <si>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</si>
  <si>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</si>
  <si>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</si>
  <si>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</si>
  <si>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</si>
  <si>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</si>
  <si>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</si>
  <si>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</si>
  <si>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</si>
  <si>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</si>
  <si>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</si>
  <si>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</si>
  <si>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</si>
  <si>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</si>
  <si>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</si>
  <si>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</si>
  <si>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</si>
  <si>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</si>
  <si>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</si>
  <si>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</si>
  <si>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</si>
  <si>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</si>
  <si>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</si>
  <si>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</si>
  <si>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</si>
  <si>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</si>
  <si>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</si>
  <si>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</si>
  <si>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</si>
  <si>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</si>
  <si>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</si>
  <si>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</si>
  <si>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</si>
  <si>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</si>
  <si>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</si>
  <si>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</si>
  <si>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</si>
  <si>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</si>
  <si>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</si>
  <si>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</si>
  <si>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</si>
  <si>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</si>
  <si>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</si>
  <si>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</si>
  <si>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</si>
  <si>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</si>
  <si>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</si>
  <si>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</si>
  <si>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</si>
  <si>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</si>
  <si>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</si>
  <si>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</si>
  <si>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</si>
  <si>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</si>
  <si>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</si>
  <si>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</si>
  <si>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</si>
  <si>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</si>
  <si>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</si>
  <si>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</si>
  <si>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</si>
  <si>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</si>
  <si>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</si>
  <si>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</si>
  <si>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</si>
  <si>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</si>
  <si>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</si>
  <si>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</si>
  <si>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</si>
  <si>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</si>
  <si>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</si>
  <si>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</si>
  <si>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</si>
  <si>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</si>
  <si>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</si>
  <si>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</si>
  <si>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</si>
  <si>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</si>
  <si>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</si>
  <si>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</si>
  <si>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</si>
  <si>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</si>
  <si>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</si>
  <si>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</si>
  <si>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</si>
  <si>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</si>
  <si>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</si>
  <si>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</si>
  <si>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</si>
  <si>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</si>
  <si>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</si>
  <si>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</si>
  <si>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</si>
  <si>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</si>
  <si>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</si>
  <si>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</si>
  <si>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</si>
  <si>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</si>
  <si>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</si>
  <si>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</si>
  <si>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</si>
  <si>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</si>
  <si>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</si>
  <si>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</si>
  <si>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</si>
  <si>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</si>
  <si>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</si>
  <si>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</si>
  <si>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</si>
  <si>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</si>
  <si>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</si>
  <si>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</si>
  <si>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</si>
  <si>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</si>
  <si>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</si>
  <si>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</si>
  <si>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</si>
  <si>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</si>
  <si>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</si>
  <si>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</si>
  <si>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</si>
  <si>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</si>
  <si>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</si>
  <si>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</si>
  <si>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</si>
  <si>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</si>
  <si>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</si>
  <si>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</si>
  <si>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</si>
  <si>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</si>
  <si>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</si>
  <si>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</si>
  <si>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</si>
  <si>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</si>
  <si>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</si>
  <si>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</si>
  <si>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</si>
  <si>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</si>
  <si>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</si>
  <si>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</si>
  <si>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</si>
  <si>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</si>
  <si>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</si>
  <si>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</si>
  <si>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</si>
  <si>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</si>
  <si>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</si>
  <si>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</si>
  <si>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</si>
  <si>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</si>
  <si>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</si>
  <si>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</si>
  <si>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</si>
  <si>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</si>
  <si>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</si>
  <si>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</si>
  <si>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</si>
  <si>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</si>
  <si>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</si>
  <si>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</si>
  <si>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</si>
  <si>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</si>
  <si>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</si>
  <si>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</si>
  <si>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</si>
  <si>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</si>
  <si>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</si>
  <si>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</si>
  <si>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</si>
  <si>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</si>
  <si>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</si>
  <si>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</si>
  <si>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</si>
  <si>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</si>
  <si>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</si>
  <si>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</si>
  <si>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</si>
  <si>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</si>
  <si>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</si>
  <si>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</si>
  <si>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</si>
  <si>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</si>
  <si>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</si>
  <si>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</si>
  <si>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</si>
  <si>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</si>
  <si>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</si>
  <si>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</si>
  <si>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</si>
  <si>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</si>
  <si>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</si>
  <si>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</si>
  <si>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</si>
  <si>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</si>
  <si>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</si>
  <si>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</si>
  <si>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</si>
  <si>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</si>
  <si>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</si>
  <si>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</si>
  <si>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</si>
  <si>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</si>
  <si>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</si>
  <si>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</si>
  <si>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</si>
  <si>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</si>
  <si>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</si>
  <si>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</si>
  <si>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</si>
  <si>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</si>
  <si>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</si>
  <si>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</si>
  <si>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</si>
  <si>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</si>
  <si>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</si>
  <si>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</si>
  <si>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</si>
  <si>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</si>
  <si>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</si>
  <si>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</si>
  <si>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</si>
  <si>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</si>
  <si>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</si>
  <si>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</si>
  <si>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</si>
  <si>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</si>
  <si>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</si>
  <si>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</si>
  <si>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</si>
  <si>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</si>
  <si>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</si>
  <si>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</si>
  <si>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</si>
  <si>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</si>
  <si>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</si>
  <si>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</si>
  <si>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</si>
  <si>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</si>
  <si>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</si>
  <si>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</si>
  <si>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</si>
  <si>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</si>
  <si>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</si>
  <si>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</si>
  <si>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</si>
  <si>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</si>
  <si>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</si>
  <si>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</si>
  <si>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</si>
  <si>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</si>
  <si>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</si>
  <si>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</si>
  <si>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</si>
  <si>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</si>
  <si>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</si>
  <si>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</si>
  <si>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</si>
  <si>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</si>
  <si>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</si>
  <si>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</si>
  <si>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</si>
  <si>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</si>
  <si>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</si>
  <si>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</si>
  <si>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</si>
  <si>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</si>
  <si>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</si>
  <si>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</si>
  <si>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</si>
  <si>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</si>
  <si>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</si>
  <si>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</si>
  <si>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</si>
  <si>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</si>
  <si>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</si>
  <si>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</si>
  <si>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</si>
  <si>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</si>
  <si>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</si>
  <si>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</si>
  <si>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</si>
  <si>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</si>
  <si>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</si>
  <si>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</si>
  <si>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</si>
  <si>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</si>
  <si>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</si>
  <si>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</si>
  <si>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</si>
  <si>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</si>
  <si>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</si>
  <si>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</si>
  <si>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</si>
  <si>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</si>
  <si>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</si>
  <si>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</si>
  <si>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</si>
  <si>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</si>
  <si>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</si>
  <si>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</si>
  <si>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</si>
  <si>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</si>
  <si>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</si>
  <si>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</si>
  <si>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</si>
  <si>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</si>
  <si>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</si>
  <si>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</si>
  <si>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</si>
  <si>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</si>
  <si>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</si>
  <si>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</si>
  <si>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</si>
  <si>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</si>
  <si>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</si>
  <si>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</si>
  <si>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</si>
  <si>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</si>
  <si>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</si>
  <si>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</si>
  <si>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</si>
  <si>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</si>
  <si>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</si>
  <si>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</si>
  <si>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</si>
  <si>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</si>
  <si>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</si>
  <si>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</si>
  <si>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</si>
  <si>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</si>
  <si>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</si>
  <si>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</si>
  <si>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</si>
  <si>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</si>
  <si>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</si>
  <si>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</si>
  <si>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</si>
  <si>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</si>
  <si>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</si>
  <si>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</si>
  <si>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</si>
  <si>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</si>
  <si>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</si>
  <si>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</si>
  <si>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</si>
  <si>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</si>
  <si>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</si>
  <si>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</si>
  <si>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</si>
  <si>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</si>
  <si>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</si>
  <si>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</si>
  <si>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</si>
  <si>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</si>
  <si>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</si>
  <si>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</si>
  <si>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</si>
  <si>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</si>
  <si>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</si>
  <si>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</si>
  <si>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</si>
  <si>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</si>
  <si>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</si>
  <si>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</si>
  <si>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</si>
  <si>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</si>
  <si>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</si>
  <si>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</si>
  <si>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</si>
  <si>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</si>
  <si>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</si>
  <si>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</si>
  <si>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</si>
  <si>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</si>
  <si>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</si>
  <si>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</si>
  <si>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</si>
  <si>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</si>
  <si>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</si>
  <si>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</si>
  <si>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</si>
  <si>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</si>
  <si>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</si>
  <si>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</si>
  <si>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</si>
  <si>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</si>
  <si>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</si>
  <si>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</si>
  <si>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</si>
  <si>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</si>
  <si>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</si>
  <si>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</si>
  <si>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</si>
  <si>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</si>
  <si>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</si>
  <si>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</si>
  <si>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</si>
  <si>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</si>
  <si>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</si>
  <si>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</si>
  <si>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</si>
  <si>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</si>
  <si>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</si>
  <si>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</si>
  <si>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</si>
  <si>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</si>
  <si>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</si>
  <si>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</si>
  <si>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</si>
  <si>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</si>
  <si>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</si>
  <si>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</si>
  <si>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</si>
  <si>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</si>
  <si>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</si>
  <si>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</si>
  <si>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</si>
  <si>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</si>
  <si>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</si>
  <si>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</si>
  <si>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</si>
  <si>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</si>
  <si>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</si>
  <si>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</si>
  <si>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</si>
  <si>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</si>
  <si>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</si>
  <si>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</si>
  <si>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</si>
  <si>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</si>
  <si>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</si>
  <si>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</si>
  <si>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</si>
  <si>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</si>
  <si>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</si>
  <si>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</si>
  <si>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</si>
  <si>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</si>
  <si>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</si>
  <si>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</si>
  <si>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</si>
  <si>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</si>
  <si>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</si>
  <si>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</si>
  <si>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</si>
  <si>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</si>
  <si>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</si>
  <si>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</si>
  <si>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</si>
  <si>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</si>
  <si>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</si>
  <si>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</si>
  <si>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</si>
  <si>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</si>
  <si>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</si>
  <si>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</si>
  <si>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</si>
  <si>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</si>
  <si>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</si>
  <si>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</si>
  <si>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</si>
  <si>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</si>
  <si>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</si>
  <si>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</si>
  <si>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</si>
  <si>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</si>
  <si>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</si>
  <si>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</si>
  <si>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</si>
  <si>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</si>
  <si>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</si>
  <si>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</si>
  <si>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</si>
  <si>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</si>
  <si>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</si>
  <si>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</si>
  <si>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</si>
  <si>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</si>
  <si>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</si>
  <si>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</si>
  <si>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</si>
  <si>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</si>
  <si>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</si>
  <si>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</si>
  <si>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</si>
  <si>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</si>
  <si>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</si>
  <si>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</si>
  <si>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</si>
  <si>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</si>
  <si>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</si>
  <si>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</si>
  <si>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</si>
  <si>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</si>
  <si>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</si>
  <si>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</si>
  <si>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</si>
  <si>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</si>
  <si>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</si>
  <si>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</si>
  <si>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</si>
  <si>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</si>
  <si>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</si>
  <si>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</si>
  <si>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</si>
  <si>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</si>
  <si>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</si>
  <si>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</si>
  <si>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</si>
  <si>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</si>
  <si>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</si>
  <si>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</si>
  <si>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</si>
  <si>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</si>
  <si>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</si>
  <si>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</si>
  <si>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</si>
  <si>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</si>
  <si>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</si>
  <si>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</si>
  <si>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</si>
  <si>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</si>
  <si>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</si>
  <si>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</si>
  <si>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</si>
  <si>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</si>
  <si>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</si>
  <si>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</si>
  <si>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</si>
  <si>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</si>
  <si>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</si>
  <si>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</si>
  <si>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</si>
  <si>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</si>
  <si>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</si>
  <si>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</si>
  <si>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</si>
  <si>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</si>
  <si>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</si>
  <si>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</si>
  <si>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</si>
  <si>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</si>
  <si>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</si>
  <si>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</si>
  <si>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</si>
  <si>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</si>
  <si>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</si>
  <si>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</si>
  <si>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</si>
  <si>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</si>
  <si>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</si>
  <si>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</si>
  <si>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</si>
  <si>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</si>
  <si>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</si>
  <si>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</si>
  <si>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</si>
  <si>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</si>
  <si>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</si>
  <si>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</si>
  <si>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</si>
  <si>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</si>
  <si>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</si>
  <si>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</si>
  <si>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</si>
  <si>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</si>
  <si>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</si>
  <si>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</si>
  <si>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</si>
  <si>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</si>
  <si>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</si>
  <si>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</si>
  <si>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</si>
  <si>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</si>
  <si>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</si>
  <si>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</si>
  <si>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</si>
  <si>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</si>
  <si>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</si>
  <si>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</si>
  <si>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</si>
  <si>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</si>
  <si>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</si>
  <si>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</si>
  <si>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</si>
  <si>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</si>
  <si>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</si>
  <si>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</si>
  <si>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</si>
  <si>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</si>
  <si>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</si>
  <si>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</si>
  <si>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</si>
  <si>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</si>
  <si>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</si>
  <si>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</si>
  <si>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</si>
  <si>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</si>
  <si>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</si>
  <si>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</si>
  <si>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</si>
  <si>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</si>
  <si>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</si>
  <si>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</si>
  <si>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</si>
  <si>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</si>
  <si>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</si>
  <si>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</si>
  <si>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</si>
  <si>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</si>
  <si>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</si>
  <si>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</si>
  <si>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</si>
  <si>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</si>
  <si>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</si>
  <si>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</si>
  <si>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</si>
  <si>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</si>
  <si>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</si>
  <si>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</si>
  <si>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</si>
  <si>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</si>
  <si>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</si>
  <si>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</si>
  <si>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</si>
  <si>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</si>
  <si>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</si>
  <si>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</si>
  <si>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</si>
  <si>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</si>
  <si>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</si>
  <si>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</si>
  <si>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</si>
  <si>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</si>
  <si>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</si>
  <si>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</si>
  <si>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</si>
  <si>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</si>
  <si>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</si>
  <si>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</si>
  <si>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</si>
  <si>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</si>
  <si>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</si>
  <si>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</si>
  <si>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</si>
  <si>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</si>
  <si>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</si>
  <si>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</si>
  <si>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</si>
  <si>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</si>
  <si>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</si>
  <si>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</si>
  <si>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</si>
  <si>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</si>
  <si>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</si>
  <si>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</si>
  <si>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</si>
  <si>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</si>
  <si>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</si>
  <si>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</si>
  <si>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</si>
  <si>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</si>
  <si>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</si>
  <si>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</si>
  <si>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</si>
  <si>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</si>
  <si>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</si>
  <si>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</si>
  <si>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</si>
  <si>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</si>
  <si>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</si>
  <si>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</si>
  <si>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</si>
  <si>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</si>
  <si>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</si>
  <si>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</si>
  <si>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</si>
  <si>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</si>
  <si>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</si>
  <si>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</si>
  <si>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</si>
  <si>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</si>
  <si>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</si>
  <si>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</si>
  <si>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</si>
  <si>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</si>
  <si>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</si>
  <si>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</si>
  <si>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</si>
  <si>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</si>
  <si>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</si>
  <si>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</si>
  <si>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</si>
  <si>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</si>
  <si>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</si>
  <si>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</si>
  <si>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</si>
  <si>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</si>
  <si>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</si>
  <si>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</si>
  <si>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</si>
  <si>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</si>
  <si>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</si>
  <si>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</si>
  <si>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</si>
  <si>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</si>
  <si>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</si>
  <si>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</si>
  <si>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</si>
  <si>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</si>
  <si>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</si>
  <si>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</si>
  <si>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</si>
  <si>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</si>
  <si>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</si>
  <si>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</si>
  <si>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</si>
  <si>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</si>
  <si>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</si>
  <si>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</si>
  <si>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</si>
  <si>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</si>
  <si>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</si>
  <si>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</si>
  <si>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</si>
  <si>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</si>
  <si>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</si>
  <si>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</si>
  <si>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</si>
  <si>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</si>
  <si>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</si>
  <si>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</si>
  <si>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</si>
  <si>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</si>
  <si>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</si>
  <si>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</si>
  <si>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</si>
  <si>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</si>
  <si>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</si>
  <si>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</si>
  <si>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</si>
  <si>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</si>
  <si>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</si>
  <si>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</si>
  <si>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</si>
  <si>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</si>
  <si>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</si>
  <si>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</si>
  <si>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</si>
  <si>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</si>
  <si>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</si>
  <si>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</si>
  <si>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</si>
  <si>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</si>
  <si>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</si>
  <si>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</si>
  <si>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</si>
  <si>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</si>
  <si>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</si>
  <si>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</si>
  <si>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</si>
  <si>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</si>
  <si>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</si>
  <si>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</si>
  <si>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</si>
  <si>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</si>
  <si>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</si>
  <si>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</si>
  <si>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</si>
  <si>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</si>
  <si>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</si>
  <si>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</si>
  <si>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</si>
  <si>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</si>
  <si>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</si>
  <si>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</si>
  <si>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</si>
  <si>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</si>
  <si>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</si>
  <si>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</si>
  <si>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</si>
  <si>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</si>
  <si>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</si>
  <si>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</si>
  <si>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</si>
  <si>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</si>
  <si>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</si>
  <si>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</si>
  <si>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</si>
  <si>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</si>
  <si>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</si>
  <si>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</si>
  <si>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</si>
  <si>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</si>
  <si>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</si>
  <si>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</si>
  <si>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</si>
  <si>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</si>
  <si>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</si>
  <si>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</si>
  <si>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</si>
  <si>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</si>
  <si>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</si>
  <si>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</si>
  <si>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</si>
  <si>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</si>
  <si>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</si>
  <si>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</si>
  <si>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</si>
  <si>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</si>
  <si>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</si>
  <si>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</si>
  <si>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</si>
  <si>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</si>
  <si>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</si>
  <si>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</si>
  <si>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</si>
  <si>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</si>
  <si>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</si>
  <si>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</si>
  <si>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</si>
  <si>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</si>
  <si>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</si>
  <si>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</si>
  <si>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</si>
  <si>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</si>
  <si>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</si>
  <si>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</si>
  <si>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</si>
  <si>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</si>
  <si>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</si>
  <si>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</si>
  <si>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</si>
  <si>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</si>
  <si>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</si>
  <si>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</si>
  <si>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</si>
  <si>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</si>
  <si>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</si>
  <si>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</si>
  <si>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</si>
  <si>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</si>
  <si>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</si>
  <si>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</si>
  <si>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</si>
  <si>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</si>
  <si>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</si>
  <si>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</si>
  <si>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</si>
  <si>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</si>
  <si>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</si>
  <si>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</si>
  <si>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</si>
  <si>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</si>
  <si>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</si>
  <si>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</si>
  <si>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</si>
  <si>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</si>
  <si>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</si>
  <si>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</si>
  <si>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</si>
  <si>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</si>
  <si>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</si>
  <si>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</si>
  <si>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</si>
  <si>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</si>
  <si>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</si>
  <si>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</si>
  <si>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</si>
  <si>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</si>
  <si>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</si>
  <si>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</si>
  <si>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</si>
  <si>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</si>
  <si>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</si>
  <si>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</si>
  <si>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</si>
  <si>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</si>
  <si>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</si>
  <si>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</si>
  <si>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</si>
  <si>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</si>
  <si>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</si>
  <si>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</si>
  <si>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</si>
  <si>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</si>
  <si>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</si>
  <si>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</si>
  <si>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</si>
  <si>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</si>
  <si>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</si>
  <si>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</si>
  <si>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</si>
  <si>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</si>
  <si>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</si>
  <si>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</si>
  <si>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</si>
  <si>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</si>
  <si>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</si>
  <si>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</si>
  <si>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</si>
  <si>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</si>
  <si>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</si>
  <si>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</si>
  <si>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</si>
  <si>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</si>
  <si>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</si>
  <si>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</si>
  <si>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</si>
  <si>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</si>
  <si>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</si>
  <si>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</si>
  <si>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</si>
  <si>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</si>
  <si>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</si>
  <si>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</si>
  <si>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</si>
  <si>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</si>
  <si>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</si>
  <si>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</si>
  <si>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</si>
  <si>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</si>
  <si>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</si>
  <si>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</si>
  <si>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</si>
  <si>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</si>
  <si>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</si>
  <si>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</si>
  <si>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</si>
  <si>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</si>
  <si>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</si>
  <si>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</si>
  <si>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</si>
  <si>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</si>
  <si>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</si>
  <si>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</si>
  <si>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</si>
  <si>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</si>
  <si>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</si>
  <si>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</si>
  <si>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</si>
  <si>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</si>
  <si>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</si>
  <si>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</si>
  <si>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</si>
  <si>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</si>
  <si>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</si>
  <si>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</si>
  <si>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</si>
  <si>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</si>
  <si>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</si>
  <si>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</si>
  <si>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</si>
  <si>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</si>
  <si>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</si>
  <si>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</si>
  <si>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</si>
  <si>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</si>
  <si>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</si>
  <si>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</si>
  <si>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</si>
  <si>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</si>
  <si>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</si>
  <si>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</si>
  <si>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</si>
  <si>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</si>
  <si>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</si>
  <si>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</si>
  <si>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</si>
  <si>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</si>
  <si>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</si>
  <si>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</si>
  <si>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</si>
  <si>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</si>
  <si>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</si>
  <si>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</si>
  <si>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</si>
  <si>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</si>
  <si>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</si>
  <si>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</si>
  <si>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</si>
  <si>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</si>
  <si>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</si>
  <si>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</si>
  <si>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</si>
  <si>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</si>
  <si>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</si>
  <si>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</si>
  <si>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</si>
  <si>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</si>
  <si>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</si>
  <si>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</si>
  <si>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</si>
  <si>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</si>
  <si>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</si>
  <si>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</si>
  <si>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</si>
  <si>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</si>
  <si>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</si>
  <si>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</si>
  <si>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</si>
  <si>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</si>
  <si>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</si>
  <si>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</si>
  <si>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</si>
  <si>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</si>
  <si>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</si>
  <si>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</si>
  <si>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</si>
  <si>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</si>
  <si>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</si>
  <si>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</si>
  <si>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</si>
  <si>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</si>
  <si>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</si>
  <si>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</si>
  <si>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</si>
  <si>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</si>
  <si>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</si>
  <si>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</si>
  <si>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</si>
  <si>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</si>
  <si>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</si>
  <si>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</si>
  <si>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</si>
  <si>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</si>
  <si>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</si>
  <si>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</si>
  <si>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</si>
  <si>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</si>
  <si>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</si>
  <si>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</si>
  <si>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</si>
  <si>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</si>
  <si>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</si>
  <si>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</si>
  <si>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</si>
  <si>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</si>
  <si>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</si>
  <si>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</si>
  <si>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</si>
  <si>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</si>
  <si>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</si>
  <si>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</si>
  <si>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</si>
  <si>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</si>
  <si>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</si>
  <si>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</si>
  <si>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</si>
  <si>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</si>
  <si>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</si>
  <si>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</si>
  <si>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</si>
  <si>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</si>
  <si>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</si>
  <si>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</si>
  <si>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</si>
  <si>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</si>
  <si>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</si>
  <si>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</si>
  <si>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</si>
  <si>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</si>
  <si>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</si>
  <si>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</si>
  <si>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</si>
  <si>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</si>
  <si>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</si>
  <si>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</si>
  <si>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</si>
  <si>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</si>
  <si>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</si>
  <si>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</si>
  <si>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</si>
  <si>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</si>
  <si>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</si>
  <si>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</si>
  <si>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</si>
  <si>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</si>
  <si>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</si>
  <si>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</si>
  <si>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</si>
  <si>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</si>
  <si>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</si>
  <si>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</si>
  <si>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</si>
  <si>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</si>
  <si>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</si>
  <si>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</si>
  <si>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</si>
  <si>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</si>
  <si>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</si>
  <si>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</si>
  <si>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</si>
  <si>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</si>
  <si>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</si>
  <si>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</si>
  <si>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</si>
  <si>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</si>
  <si>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</si>
  <si>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</si>
  <si>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</si>
  <si>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</si>
  <si>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</si>
  <si>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</si>
  <si>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</si>
  <si>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</si>
  <si>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</si>
  <si>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</si>
  <si>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</si>
  <si>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</si>
  <si>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</si>
  <si>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</si>
  <si>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</si>
  <si>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</si>
  <si>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</si>
  <si>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</si>
  <si>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</si>
  <si>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</si>
  <si>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</si>
  <si>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</si>
  <si>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</si>
  <si>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</si>
  <si>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</si>
  <si>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</si>
  <si>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</si>
  <si>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</si>
  <si>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</si>
  <si>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</si>
  <si>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</si>
  <si>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</si>
  <si>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</si>
  <si>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</si>
  <si>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</si>
  <si>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</si>
  <si>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</si>
  <si>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</si>
  <si>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</si>
  <si>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</si>
  <si>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</si>
  <si>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</si>
  <si>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</si>
  <si>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</si>
  <si>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</si>
  <si>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</si>
  <si>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</si>
  <si>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</si>
  <si>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</si>
  <si>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</si>
  <si>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</si>
  <si>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</si>
  <si>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</si>
  <si>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</si>
  <si>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</si>
  <si>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</si>
  <si>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</si>
  <si>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</si>
  <si>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</si>
  <si>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</si>
  <si>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</si>
  <si>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</si>
  <si>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</si>
  <si>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</si>
  <si>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</si>
  <si>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</si>
  <si>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</si>
  <si>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</si>
  <si>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</si>
  <si>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</si>
  <si>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</si>
  <si>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</si>
  <si>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</si>
  <si>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</si>
  <si>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</si>
  <si>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</si>
  <si>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</si>
  <si>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</si>
  <si>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</si>
  <si>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</si>
  <si>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</si>
  <si>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</si>
  <si>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</si>
  <si>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</si>
  <si>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</si>
  <si>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</si>
  <si>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</si>
  <si>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</si>
  <si>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</si>
  <si>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</si>
  <si>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</si>
  <si>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</si>
  <si>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</si>
  <si>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</si>
  <si>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</si>
  <si>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</si>
  <si>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</si>
  <si>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</si>
  <si>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</si>
  <si>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</si>
  <si>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</si>
  <si>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</si>
  <si>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</si>
  <si>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</si>
  <si>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</si>
  <si>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</si>
  <si>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</si>
  <si>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</si>
  <si>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</si>
  <si>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</si>
  <si>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</si>
  <si>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</si>
  <si>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</si>
  <si>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</si>
  <si>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</si>
  <si>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</si>
  <si>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</si>
  <si>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</si>
  <si>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</si>
  <si>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</si>
  <si>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</si>
  <si>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</si>
  <si>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</si>
  <si>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</si>
  <si>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</si>
  <si>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</si>
  <si>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</si>
  <si>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</si>
  <si>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</si>
  <si>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</si>
  <si>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</si>
  <si>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</si>
  <si>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</si>
  <si>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</si>
  <si>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</si>
  <si>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</si>
  <si>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</si>
  <si>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</si>
  <si>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</si>
  <si>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</si>
  <si>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</si>
  <si>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</si>
  <si>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</si>
  <si>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</si>
  <si>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</si>
  <si>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</si>
  <si>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</si>
  <si>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</si>
  <si>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</si>
  <si>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</si>
  <si>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</si>
  <si>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</si>
  <si>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</si>
  <si>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</si>
  <si>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</si>
  <si>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</si>
  <si>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</si>
  <si>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</si>
  <si>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</si>
  <si>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</si>
  <si>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</si>
  <si>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</si>
  <si>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</si>
  <si>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</si>
  <si>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</si>
  <si>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</si>
  <si>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</si>
  <si>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</si>
  <si>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</si>
  <si>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</si>
  <si>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</si>
  <si>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</si>
  <si>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</si>
  <si>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</si>
  <si>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</si>
  <si>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</si>
  <si>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</si>
  <si>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</si>
  <si>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</si>
  <si>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</si>
  <si>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</si>
  <si>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</si>
  <si>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</si>
  <si>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</si>
  <si>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</si>
  <si>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</si>
  <si>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</si>
  <si>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</si>
  <si>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</si>
  <si>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</si>
  <si>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</si>
  <si>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</si>
  <si>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</si>
  <si>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</si>
  <si>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</si>
  <si>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</si>
  <si>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</si>
  <si>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</si>
  <si>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</si>
  <si>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</si>
  <si>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</si>
  <si>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</si>
  <si>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</si>
  <si>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</si>
  <si>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</si>
  <si>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</si>
  <si>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</si>
  <si>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</si>
  <si>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</si>
  <si>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</si>
  <si>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</si>
  <si>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</si>
  <si>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</si>
  <si>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</si>
  <si>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</si>
  <si>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</si>
  <si>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</si>
  <si>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</si>
  <si>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</si>
  <si>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</si>
  <si>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</si>
  <si>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</si>
  <si>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</si>
  <si>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</si>
  <si>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</si>
  <si>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</si>
  <si>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</si>
  <si>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</si>
  <si>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</si>
  <si>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</si>
  <si>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</si>
  <si>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</si>
  <si>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</si>
  <si>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</si>
  <si>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</si>
  <si>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</si>
  <si>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</si>
  <si>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</si>
  <si>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</si>
  <si>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</si>
  <si>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</si>
  <si>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</si>
  <si>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</si>
  <si>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</si>
  <si>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</si>
  <si>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</si>
  <si>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</si>
  <si>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</si>
  <si>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</si>
  <si>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</si>
  <si>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</si>
  <si>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</si>
  <si>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</si>
  <si>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</si>
  <si>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</si>
  <si>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</si>
  <si>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</si>
  <si>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</si>
  <si>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</si>
  <si>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</si>
  <si>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</si>
  <si>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</si>
  <si>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</si>
  <si>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</si>
  <si>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</si>
  <si>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</si>
  <si>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</si>
  <si>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</si>
  <si>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</si>
  <si>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</si>
  <si>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</si>
  <si>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</si>
  <si>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</si>
  <si>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</si>
  <si>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</si>
  <si>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</si>
  <si>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</si>
  <si>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</si>
  <si>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</si>
  <si>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</si>
  <si>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</si>
  <si>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</si>
  <si>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</si>
  <si>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</si>
  <si>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</si>
  <si>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</si>
  <si>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</si>
  <si>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</si>
  <si>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</si>
  <si>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</si>
  <si>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</si>
  <si>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</si>
  <si>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</si>
  <si>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</si>
  <si>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</si>
  <si>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</si>
  <si>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</si>
  <si>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</si>
  <si>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</si>
  <si>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</si>
  <si>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</si>
  <si>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</si>
  <si>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</si>
  <si>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</si>
  <si>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</si>
  <si>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</si>
  <si>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</si>
  <si>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</si>
  <si>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</si>
  <si>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</si>
  <si>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</si>
  <si>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</si>
  <si>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</si>
  <si>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</si>
  <si>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</si>
  <si>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</si>
  <si>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</si>
  <si>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</si>
  <si>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</si>
  <si>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</si>
  <si>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</si>
  <si>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</si>
  <si>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</si>
  <si>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</si>
  <si>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</si>
  <si>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</si>
  <si>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</si>
  <si>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</si>
  <si>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</si>
  <si>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</si>
  <si>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</si>
  <si>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</si>
  <si>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</si>
  <si>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</si>
  <si>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</si>
  <si>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</si>
  <si>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</si>
  <si>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</si>
  <si>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</si>
  <si>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</si>
  <si>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</si>
  <si>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</si>
  <si>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</si>
  <si>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</si>
  <si>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</si>
  <si>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</si>
  <si>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</si>
  <si>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</si>
  <si>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</si>
  <si>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</si>
  <si>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</si>
  <si>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</si>
  <si>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</si>
  <si>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</si>
  <si>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</si>
  <si>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</si>
  <si>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</si>
  <si>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</si>
  <si>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</si>
  <si>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</si>
  <si>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</si>
  <si>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</si>
  <si>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</si>
  <si>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</si>
  <si>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</si>
  <si>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</si>
  <si>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</si>
  <si>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</si>
  <si>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</si>
  <si>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</si>
  <si>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</si>
  <si>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</si>
  <si>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</si>
  <si>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</si>
  <si>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</si>
  <si>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</si>
  <si>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</si>
  <si>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</si>
  <si>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</si>
  <si>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</si>
  <si>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</si>
  <si>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</si>
  <si>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</si>
  <si>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</si>
  <si>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</si>
  <si>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</si>
  <si>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</si>
  <si>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</si>
  <si>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</si>
  <si>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</si>
  <si>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</si>
  <si>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</si>
  <si>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</si>
  <si>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</si>
  <si>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</si>
  <si>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</si>
  <si>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</si>
  <si>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</si>
  <si>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</si>
  <si>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</si>
  <si>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</si>
  <si>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</si>
  <si>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</si>
  <si>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</si>
  <si>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</si>
  <si>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</si>
  <si>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</si>
  <si>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</si>
  <si>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</si>
  <si>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</si>
  <si>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</si>
  <si>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</si>
  <si>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</si>
  <si>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</si>
  <si>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</si>
  <si>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</si>
  <si>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</si>
  <si>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</si>
  <si>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</si>
  <si>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</si>
  <si>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</si>
  <si>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</si>
  <si>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</si>
  <si>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</si>
  <si>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</si>
  <si>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</si>
  <si>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</si>
  <si>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</si>
  <si>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</si>
  <si>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</si>
  <si>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</si>
  <si>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</si>
  <si>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</si>
  <si>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</si>
  <si>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</si>
  <si>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</si>
  <si>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</si>
  <si>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</si>
  <si>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</si>
  <si>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</si>
  <si>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</si>
  <si>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</si>
  <si>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</si>
  <si>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</si>
  <si>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</si>
  <si>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</si>
  <si>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</si>
  <si>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</si>
  <si>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</si>
  <si>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</si>
  <si>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</si>
  <si>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</si>
  <si>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</si>
  <si>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</si>
  <si>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</si>
  <si>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</si>
  <si>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</si>
  <si>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</si>
  <si>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</si>
  <si>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</si>
  <si>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</si>
  <si>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</si>
  <si>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</si>
  <si>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</si>
  <si>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</si>
  <si>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</si>
  <si>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</si>
  <si>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</si>
  <si>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</si>
  <si>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</si>
  <si>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</si>
  <si>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</si>
  <si>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</si>
  <si>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</si>
  <si>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</si>
  <si>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</si>
  <si>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</si>
  <si>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</si>
  <si>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</si>
  <si>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</si>
  <si>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</si>
  <si>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</si>
  <si>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</si>
  <si>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</si>
  <si>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</si>
  <si>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</si>
  <si>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</si>
  <si>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</si>
  <si>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</si>
  <si>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</si>
  <si>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</si>
  <si>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</si>
  <si>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</si>
  <si>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</si>
  <si>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</si>
  <si>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</si>
  <si>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</si>
  <si>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</si>
  <si>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</si>
  <si>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</si>
  <si>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</si>
  <si>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</si>
  <si>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</si>
  <si>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</si>
  <si>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</si>
  <si>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</si>
  <si>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</si>
  <si>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</si>
  <si>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</si>
  <si>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</si>
  <si>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</si>
  <si>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</si>
  <si>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</si>
  <si>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</si>
  <si>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</si>
  <si>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</si>
  <si>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</si>
  <si>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</si>
  <si>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</si>
  <si>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</si>
  <si>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</si>
  <si>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</si>
  <si>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</si>
  <si>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</si>
  <si>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</si>
  <si>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</si>
  <si>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</si>
  <si>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</si>
  <si>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</si>
  <si>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</si>
  <si>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</si>
  <si>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</si>
  <si>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</si>
  <si>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</si>
  <si>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</si>
  <si>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</si>
  <si>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</si>
  <si>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</si>
  <si>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</si>
  <si>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</si>
  <si>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</si>
  <si>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</si>
  <si>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</si>
  <si>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</si>
  <si>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</si>
  <si>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</si>
  <si>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</si>
  <si>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</si>
  <si>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</si>
  <si>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</si>
  <si>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</si>
  <si>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</si>
  <si>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</si>
  <si>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</si>
  <si>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</si>
  <si>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</si>
  <si>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</si>
  <si>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</si>
  <si>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</si>
  <si>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</si>
  <si>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</si>
  <si>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</si>
  <si>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</si>
  <si>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</si>
  <si>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</si>
  <si>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</si>
  <si>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</si>
  <si>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</si>
  <si>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</si>
  <si>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</si>
  <si>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</si>
  <si>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</si>
  <si>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</si>
  <si>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</si>
  <si>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</si>
  <si>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</si>
  <si>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</si>
  <si>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</si>
  <si>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</si>
  <si>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</si>
  <si>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</si>
  <si>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</si>
  <si>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</si>
  <si>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</si>
  <si>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</si>
  <si>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</si>
  <si>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</si>
  <si>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</si>
  <si>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</si>
  <si>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</si>
  <si>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</si>
  <si>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</si>
  <si>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</si>
  <si>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</si>
  <si>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</si>
  <si>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</si>
  <si>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</si>
  <si>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</si>
  <si>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</si>
  <si>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</si>
  <si>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</si>
  <si>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</si>
  <si>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</si>
  <si>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</si>
  <si>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</si>
  <si>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</si>
  <si>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</si>
  <si>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</si>
  <si>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</si>
  <si>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</si>
  <si>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</si>
  <si>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</si>
  <si>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</si>
  <si>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</si>
  <si>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</si>
  <si>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</si>
  <si>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</si>
  <si>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</si>
  <si>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</si>
  <si>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</si>
  <si>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</si>
  <si>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</si>
  <si>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</si>
  <si>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</si>
  <si>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</si>
  <si>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</si>
  <si>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</si>
  <si>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</si>
  <si>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</si>
  <si>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</si>
  <si>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</si>
  <si>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</si>
  <si>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</si>
  <si>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</si>
  <si>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</si>
  <si>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</si>
  <si>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</si>
  <si>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</si>
  <si>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</si>
  <si>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</si>
  <si>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</si>
  <si>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</si>
  <si>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</si>
  <si>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</si>
  <si>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</si>
  <si>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</si>
  <si>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</si>
  <si>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</si>
  <si>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</si>
  <si>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</si>
  <si>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</si>
  <si>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</si>
  <si>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</si>
  <si>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</si>
  <si>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</si>
  <si>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</si>
  <si>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</si>
  <si>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</si>
  <si>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</si>
  <si>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</si>
  <si>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</si>
  <si>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</si>
  <si>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</si>
  <si>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</si>
  <si>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</si>
  <si>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</si>
  <si>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</si>
  <si>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</si>
  <si>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</si>
  <si>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</si>
  <si>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</si>
  <si>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</si>
  <si>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</si>
  <si>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</si>
  <si>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</si>
  <si>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</si>
  <si>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</si>
  <si>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</si>
  <si>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</si>
  <si>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</si>
  <si>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</si>
  <si>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</si>
  <si>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</si>
  <si>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</si>
  <si>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</si>
  <si>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</si>
  <si>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</si>
  <si>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</si>
  <si>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</si>
  <si>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</si>
  <si>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</si>
  <si>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</si>
  <si>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</si>
  <si>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</si>
  <si>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</si>
  <si>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</si>
  <si>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</si>
  <si>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</si>
  <si>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</si>
  <si>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</si>
  <si>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</si>
  <si>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</si>
  <si>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</si>
  <si>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</si>
  <si>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</si>
  <si>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</si>
  <si>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</si>
  <si>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</si>
  <si>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</si>
  <si>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</si>
  <si>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</si>
  <si>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</si>
  <si>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</si>
  <si>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</si>
  <si>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</si>
  <si>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</si>
  <si>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</si>
  <si>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</si>
  <si>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</si>
  <si>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</si>
  <si>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</si>
  <si>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</si>
  <si>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</si>
  <si>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</si>
  <si>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</si>
  <si>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</si>
  <si>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</si>
  <si>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</si>
  <si>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</si>
  <si>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</si>
  <si>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</si>
  <si>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</si>
  <si>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</si>
  <si>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</si>
  <si>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</si>
  <si>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</si>
  <si>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</si>
  <si>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</si>
  <si>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</si>
  <si>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</si>
  <si>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</si>
  <si>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</si>
  <si>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</si>
  <si>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</si>
  <si>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</si>
  <si>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</si>
  <si>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</si>
  <si>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</si>
  <si>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</si>
  <si>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</si>
  <si>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</si>
  <si>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</si>
  <si>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</si>
  <si>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</si>
  <si>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</si>
  <si>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</si>
  <si>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</si>
  <si>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</si>
  <si>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</si>
  <si>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</si>
  <si>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</si>
  <si>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</si>
  <si>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</si>
  <si>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</si>
  <si>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</si>
  <si>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</si>
  <si>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</si>
  <si>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</si>
  <si>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</si>
  <si>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</si>
  <si>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</si>
  <si>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</si>
  <si>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</si>
  <si>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</si>
  <si>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</si>
  <si>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</si>
  <si>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</si>
  <si>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</si>
  <si>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</si>
  <si>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</si>
  <si>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</si>
  <si>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</si>
  <si>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</si>
  <si>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</si>
  <si>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</si>
  <si>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</si>
  <si>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</si>
  <si>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</si>
  <si>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</si>
  <si>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</si>
  <si>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</si>
  <si>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</si>
  <si>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</si>
  <si>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</si>
  <si>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</si>
  <si>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</si>
  <si>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</si>
  <si>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</si>
  <si>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</si>
  <si>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</si>
  <si>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</si>
  <si>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</si>
  <si>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</si>
  <si>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</si>
  <si>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</si>
  <si>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</si>
  <si>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</si>
  <si>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</si>
  <si>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</si>
  <si>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</si>
  <si>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</si>
  <si>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</si>
  <si>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</si>
  <si>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</si>
  <si>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</si>
  <si>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</si>
  <si>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</si>
  <si>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</si>
  <si>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</si>
  <si>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</si>
  <si>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</si>
  <si>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</si>
  <si>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</si>
  <si>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</si>
  <si>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</si>
  <si>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</si>
  <si>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</si>
  <si>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</si>
  <si>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</si>
  <si>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</si>
  <si>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</si>
  <si>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</si>
  <si>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</si>
  <si>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</si>
  <si>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</si>
  <si>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</si>
  <si>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</si>
  <si>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</si>
  <si>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</si>
  <si>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</si>
  <si>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</si>
  <si>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</si>
  <si>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</si>
  <si>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</si>
  <si>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</si>
  <si>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</si>
  <si>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</si>
  <si>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</si>
  <si>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</si>
  <si>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</si>
  <si>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</si>
  <si>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</si>
  <si>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</si>
  <si>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</si>
  <si>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</si>
  <si>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</si>
  <si>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</si>
  <si>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</si>
  <si>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</si>
  <si>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</si>
  <si>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</si>
  <si>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</si>
  <si>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</si>
  <si>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</si>
  <si>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</si>
  <si>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</si>
  <si>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</si>
  <si>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</si>
  <si>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</si>
  <si>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</si>
  <si>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</si>
  <si>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</si>
  <si>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</si>
  <si>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</si>
  <si>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</si>
  <si>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</si>
  <si>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</si>
  <si>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</si>
  <si>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</si>
  <si>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</si>
  <si>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</si>
  <si>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</si>
  <si>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</si>
  <si>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</si>
  <si>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</si>
  <si>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</si>
  <si>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</si>
  <si>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</si>
  <si>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</si>
  <si>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</si>
  <si>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</si>
  <si>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</si>
  <si>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</si>
  <si>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</si>
  <si>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</si>
  <si>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</si>
  <si>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</si>
  <si>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</si>
  <si>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</si>
  <si>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</si>
  <si>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</si>
  <si>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</si>
  <si>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</si>
  <si>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</si>
  <si>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</si>
  <si>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</si>
  <si>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</si>
  <si>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</si>
  <si>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</si>
  <si>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</si>
  <si>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</si>
  <si>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</si>
  <si>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</si>
  <si>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</si>
  <si>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</si>
  <si>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</si>
  <si>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</si>
  <si>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</si>
  <si>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</si>
  <si>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</si>
  <si>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</si>
  <si>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</si>
  <si>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</si>
  <si>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</si>
  <si>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</si>
  <si>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</si>
  <si>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</si>
  <si>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</si>
  <si>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</si>
  <si>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</si>
  <si>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</si>
  <si>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</si>
  <si>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</si>
  <si>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</si>
  <si>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</si>
  <si>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</si>
  <si>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</si>
  <si>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</si>
  <si>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</si>
  <si>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</si>
  <si>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</si>
  <si>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</si>
  <si>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</si>
  <si>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</si>
  <si>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</si>
  <si>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</si>
  <si>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</si>
  <si>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</si>
  <si>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</si>
  <si>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</si>
  <si>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</si>
  <si>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</si>
  <si>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</si>
  <si>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</si>
  <si>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</si>
  <si>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</si>
  <si>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</si>
  <si>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</si>
  <si>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</si>
  <si>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</si>
  <si>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</si>
  <si>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</si>
  <si>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</si>
  <si>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</si>
  <si>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</si>
  <si>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</si>
  <si>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</si>
  <si>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</si>
  <si>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</si>
  <si>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</si>
  <si>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</si>
  <si>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</si>
  <si>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</si>
  <si>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</si>
  <si>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</si>
  <si>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</si>
  <si>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</si>
  <si>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</si>
  <si>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</si>
  <si>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</si>
  <si>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</si>
  <si>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</si>
  <si>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</si>
  <si>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</si>
  <si>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</si>
  <si>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</si>
  <si>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</si>
  <si>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</si>
  <si>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</si>
  <si>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</si>
  <si>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</si>
  <si>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</si>
  <si>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</si>
  <si>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</si>
  <si>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</si>
  <si>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</si>
  <si>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</si>
  <si>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</si>
  <si>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</si>
  <si>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</si>
  <si>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</si>
  <si>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</si>
  <si>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</si>
  <si>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</si>
  <si>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</si>
  <si>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</si>
  <si>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</si>
  <si>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</si>
  <si>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</si>
  <si>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</si>
  <si>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</si>
  <si>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</si>
  <si>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</si>
  <si>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</si>
  <si>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</si>
  <si>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</si>
  <si>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</si>
  <si>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</si>
  <si>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</si>
  <si>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</si>
  <si>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</si>
  <si>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</si>
  <si>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</si>
  <si>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</si>
  <si>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</si>
  <si>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</si>
  <si>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</si>
  <si>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</si>
  <si>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</si>
  <si>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</si>
  <si>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</si>
  <si>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</si>
  <si>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</si>
  <si>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</si>
  <si>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</si>
  <si>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</si>
  <si>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</si>
  <si>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</si>
  <si>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</si>
  <si>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</si>
  <si>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</si>
  <si>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</si>
  <si>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</si>
  <si>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</si>
  <si>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</si>
  <si>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</si>
  <si>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</si>
  <si>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</si>
  <si>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</si>
  <si>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</si>
  <si>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</si>
  <si>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</si>
  <si>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</si>
  <si>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</si>
  <si>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</si>
  <si>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</si>
  <si>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</si>
  <si>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</si>
  <si>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</si>
  <si>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</si>
  <si>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</si>
  <si>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</si>
  <si>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</si>
  <si>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</si>
  <si>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</si>
  <si>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</si>
  <si>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</si>
  <si>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</si>
  <si>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</si>
  <si>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</si>
  <si>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</si>
  <si>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</si>
  <si>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</si>
  <si>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</si>
  <si>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</si>
  <si>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</si>
  <si>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</si>
  <si>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</si>
  <si>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</si>
  <si>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</si>
  <si>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</si>
  <si>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</si>
  <si>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</si>
  <si>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</si>
  <si>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</si>
  <si>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</si>
  <si>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</si>
  <si>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</si>
  <si>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</si>
  <si>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</si>
  <si>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</si>
  <si>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</si>
  <si>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</si>
  <si>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</si>
  <si>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</si>
  <si>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</si>
  <si>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</si>
  <si>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</si>
  <si>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</si>
  <si>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</si>
  <si>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</si>
  <si>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</si>
  <si>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</si>
  <si>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</si>
  <si>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</si>
  <si>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</si>
  <si>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</si>
  <si>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</si>
  <si>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</si>
  <si>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</si>
  <si>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</si>
  <si>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</si>
  <si>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</si>
  <si>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</si>
  <si>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</si>
  <si>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</si>
  <si>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</si>
  <si>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</si>
  <si>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</si>
  <si>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</si>
  <si>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</si>
  <si>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</si>
  <si>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</si>
  <si>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</si>
  <si>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</si>
  <si>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</si>
  <si>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</si>
  <si>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</si>
  <si>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</si>
  <si>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</si>
  <si>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</si>
  <si>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</si>
  <si>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</si>
  <si>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</si>
  <si>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</si>
  <si>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</si>
  <si>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</si>
  <si>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</si>
  <si>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</si>
  <si>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</si>
  <si>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</si>
  <si>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</si>
  <si>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</si>
  <si>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</si>
  <si>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</si>
  <si>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</si>
  <si>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</si>
  <si>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</si>
  <si>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</si>
  <si>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</si>
  <si>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</si>
  <si>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</si>
  <si>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</si>
  <si>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</si>
  <si>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</si>
  <si>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</si>
  <si>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</si>
  <si>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</si>
  <si>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</si>
  <si>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</si>
  <si>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</si>
  <si>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</si>
  <si>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</si>
  <si>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</si>
  <si>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</si>
  <si>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</si>
  <si>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</si>
  <si>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</si>
  <si>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</si>
  <si>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</si>
  <si>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</si>
  <si>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</si>
  <si>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</si>
  <si>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</si>
  <si>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</si>
  <si>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</si>
  <si>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</si>
  <si>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</si>
  <si>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</si>
  <si>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</si>
  <si>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</si>
  <si>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</si>
  <si>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</si>
  <si>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</si>
  <si>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</si>
  <si>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</si>
  <si>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</si>
  <si>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</si>
  <si>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</si>
  <si>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</si>
  <si>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</si>
  <si>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</si>
  <si>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</si>
  <si>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</si>
  <si>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</si>
  <si>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</si>
  <si>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</si>
  <si>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</si>
  <si>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</si>
  <si>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</si>
  <si>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</si>
  <si>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</si>
  <si>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</si>
  <si>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</si>
  <si>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</si>
  <si>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</si>
  <si>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</si>
  <si>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</si>
  <si>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</si>
  <si>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</si>
  <si>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</si>
  <si>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</si>
  <si>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</si>
  <si>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</si>
  <si>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</si>
  <si>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</si>
  <si>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</si>
  <si>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</si>
  <si>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</si>
  <si>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</si>
  <si>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</si>
  <si>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</si>
  <si>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</si>
  <si>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</si>
  <si>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</si>
  <si>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</si>
  <si>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</si>
  <si>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</si>
  <si>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</si>
  <si>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</si>
  <si>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</si>
  <si>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</si>
  <si>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</si>
  <si>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</si>
  <si>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</si>
  <si>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</si>
  <si>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</si>
  <si>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</si>
  <si>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</si>
  <si>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</si>
  <si>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</si>
  <si>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</si>
  <si>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</si>
  <si>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</si>
  <si>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</si>
  <si>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</si>
  <si>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</si>
  <si>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</si>
  <si>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</si>
  <si>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</si>
  <si>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</si>
  <si>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</si>
  <si>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</si>
  <si>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</si>
  <si>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</si>
  <si>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</si>
  <si>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</si>
  <si>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</si>
  <si>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</si>
  <si>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</si>
  <si>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</si>
  <si>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</si>
  <si>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</si>
  <si>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</si>
  <si>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</si>
  <si>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</si>
  <si>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</si>
  <si>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</si>
  <si>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</si>
  <si>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</si>
  <si>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</si>
  <si>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</si>
  <si>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</si>
  <si>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</si>
  <si>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</si>
  <si>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</si>
  <si>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</si>
  <si>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</si>
  <si>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</si>
  <si>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</si>
  <si>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</si>
  <si>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</si>
  <si>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</si>
  <si>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</si>
  <si>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</si>
  <si>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</si>
  <si>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</si>
  <si>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</si>
  <si>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</si>
  <si>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</si>
  <si>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</si>
  <si>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</si>
  <si>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</si>
  <si>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</si>
  <si>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</si>
  <si>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</si>
  <si>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</si>
  <si>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</si>
  <si>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</si>
  <si>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</si>
  <si>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</si>
  <si>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</si>
  <si>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</si>
  <si>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</si>
  <si>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</si>
  <si>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</si>
  <si>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</si>
  <si>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</si>
  <si>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</si>
  <si>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</si>
  <si>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</si>
  <si>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</si>
  <si>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</si>
  <si>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</si>
  <si>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</si>
  <si>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</si>
  <si>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</si>
  <si>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</si>
  <si>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</si>
  <si>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</si>
  <si>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</si>
  <si>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</si>
  <si>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</si>
  <si>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</si>
  <si>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</si>
  <si>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</si>
  <si>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</si>
  <si>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</si>
  <si>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</si>
  <si>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</si>
  <si>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</si>
  <si>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</si>
  <si>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</si>
  <si>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</si>
  <si>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</si>
  <si>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</si>
  <si>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</si>
  <si>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</si>
  <si>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</si>
  <si>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</si>
  <si>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</si>
  <si>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</si>
  <si>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</si>
  <si>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</si>
  <si>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</si>
  <si>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</si>
  <si>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</si>
  <si>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</si>
  <si>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</si>
  <si>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</si>
  <si>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</si>
  <si>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</si>
  <si>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</si>
  <si>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</si>
  <si>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</si>
  <si>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</si>
  <si>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</si>
  <si>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</si>
  <si>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</si>
  <si>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</si>
  <si>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</si>
  <si>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</si>
  <si>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</si>
  <si>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</si>
  <si>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</si>
  <si>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</si>
  <si>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</si>
  <si>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</si>
  <si>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</si>
  <si>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</si>
  <si>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</si>
  <si>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</si>
  <si>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</si>
  <si>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</si>
  <si>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</si>
  <si>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</si>
  <si>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</si>
  <si>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</si>
  <si>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</si>
  <si>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</si>
  <si>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</si>
  <si>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</si>
  <si>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</si>
  <si>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</si>
  <si>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</si>
  <si>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</si>
  <si>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</si>
  <si>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</si>
  <si>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</si>
  <si>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</si>
  <si>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</si>
  <si>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</si>
  <si>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</si>
  <si>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</si>
  <si>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</si>
  <si>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</si>
  <si>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</si>
  <si>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</si>
  <si>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</si>
  <si>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</si>
  <si>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</si>
  <si>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</si>
  <si>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</si>
  <si>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</si>
  <si>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</si>
  <si>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</si>
  <si>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</si>
  <si>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</si>
  <si>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</si>
  <si>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</si>
  <si>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</si>
  <si>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</si>
  <si>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</si>
  <si>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</si>
  <si>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</si>
  <si>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</si>
  <si>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</si>
  <si>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</si>
  <si>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</si>
  <si>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</si>
  <si>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</si>
  <si>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</si>
  <si>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</si>
  <si>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</si>
  <si>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</si>
  <si>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</si>
  <si>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</si>
  <si>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</si>
  <si>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</si>
  <si>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</si>
  <si>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</si>
  <si>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</si>
  <si>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</si>
  <si>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</si>
  <si>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</si>
  <si>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</si>
  <si>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</si>
  <si>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</si>
  <si>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</si>
  <si>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</si>
  <si>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</si>
  <si>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</si>
  <si>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</si>
  <si>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</si>
  <si>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</si>
  <si>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</si>
  <si>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</si>
  <si>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</si>
  <si>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</si>
  <si>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</si>
  <si>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</si>
  <si>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</si>
  <si>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</si>
  <si>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</si>
  <si>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</si>
  <si>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</si>
  <si>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</si>
  <si>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</si>
  <si>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</si>
  <si>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</si>
  <si>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</si>
  <si>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</si>
  <si>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</si>
  <si>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</si>
  <si>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</si>
  <si>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</si>
  <si>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</si>
  <si>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</si>
  <si>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</si>
  <si>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</si>
  <si>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</si>
  <si>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</si>
  <si>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</si>
  <si>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</si>
  <si>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</si>
  <si>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</si>
  <si>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</si>
  <si>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</si>
  <si>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</si>
  <si>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</si>
  <si>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</si>
  <si>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</si>
  <si>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</si>
  <si>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</si>
  <si>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</si>
  <si>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</si>
  <si>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</si>
  <si>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</si>
  <si>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</si>
  <si>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</si>
  <si>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</si>
  <si>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</si>
  <si>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</si>
  <si>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</si>
  <si>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</si>
  <si>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</si>
  <si>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</si>
  <si>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</si>
  <si>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</si>
  <si>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</si>
  <si>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</si>
  <si>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</si>
  <si>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</si>
  <si>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</si>
  <si>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</si>
  <si>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</si>
  <si>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</si>
  <si>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</si>
  <si>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</si>
  <si>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</si>
  <si>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</si>
  <si>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</si>
  <si>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</si>
  <si>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</si>
  <si>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</si>
  <si>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</si>
  <si>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</si>
  <si>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</si>
  <si>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</si>
  <si>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</si>
  <si>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</si>
  <si>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</si>
  <si>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</si>
  <si>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</si>
  <si>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</si>
  <si>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</si>
  <si>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</si>
  <si>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</si>
  <si>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</si>
  <si>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</si>
  <si>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</si>
  <si>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</si>
  <si>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</si>
  <si>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</si>
  <si>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</si>
  <si>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</si>
  <si>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</si>
  <si>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</si>
  <si>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</si>
  <si>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</si>
  <si>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</si>
  <si>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</si>
  <si>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</si>
  <si>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</si>
  <si>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</si>
  <si>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</si>
  <si>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</si>
  <si>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</si>
  <si>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</si>
  <si>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</si>
  <si>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</si>
  <si>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</si>
  <si>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</si>
  <si>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</si>
  <si>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</si>
  <si>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</si>
  <si>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</si>
  <si>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</si>
  <si>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</si>
  <si>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</si>
  <si>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</si>
  <si>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</si>
  <si>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</si>
  <si>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</si>
  <si>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</si>
  <si>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</si>
  <si>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</si>
  <si>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</si>
  <si>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</si>
  <si>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</si>
  <si>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</si>
  <si>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</si>
  <si>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</si>
  <si>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</si>
  <si>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</si>
  <si>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</si>
  <si>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</si>
  <si>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</si>
  <si>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</si>
  <si>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</si>
  <si>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</si>
  <si>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</si>
  <si>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</si>
  <si>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</si>
  <si>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</si>
  <si>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</si>
  <si>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</si>
  <si>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</si>
  <si>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</si>
  <si>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</si>
  <si>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</si>
  <si>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</si>
  <si>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</si>
  <si>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</si>
  <si>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</si>
  <si>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</si>
  <si>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</si>
  <si>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</si>
  <si>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</si>
  <si>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</si>
  <si>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</si>
  <si>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</si>
  <si>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</si>
  <si>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</si>
  <si>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</si>
  <si>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</si>
  <si>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</si>
  <si>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</si>
  <si>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</si>
  <si>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</si>
  <si>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</si>
  <si>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</si>
  <si>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</si>
  <si>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</si>
  <si>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</si>
  <si>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</si>
  <si>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</si>
  <si>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</si>
  <si>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</si>
  <si>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</si>
  <si>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</si>
  <si>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</si>
  <si>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</si>
  <si>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</si>
  <si>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</si>
  <si>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</si>
  <si>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</si>
  <si>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</si>
  <si>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</si>
  <si>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</si>
  <si>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</si>
  <si>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</si>
  <si>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</si>
  <si>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</si>
  <si>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</si>
  <si>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</si>
  <si>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</si>
  <si>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</si>
  <si>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</si>
  <si>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</si>
  <si>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</si>
  <si>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</si>
  <si>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</si>
  <si>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</si>
  <si>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</si>
  <si>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</si>
  <si>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</si>
  <si>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</si>
  <si>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</si>
  <si>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</si>
  <si>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</si>
  <si>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</si>
  <si>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</si>
  <si>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</si>
  <si>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</si>
  <si>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</si>
  <si>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</si>
  <si>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</si>
  <si>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</si>
  <si>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</si>
  <si>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</si>
  <si>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</si>
  <si>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</si>
  <si>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</si>
  <si>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</si>
  <si>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</si>
  <si>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</si>
  <si>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</si>
  <si>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</si>
  <si>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</si>
  <si>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</si>
  <si>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</si>
  <si>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</si>
  <si>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</si>
  <si>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</si>
  <si>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</si>
  <si>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</si>
  <si>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</si>
  <si>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</si>
  <si>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</si>
  <si>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</si>
  <si>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</si>
  <si>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</si>
  <si>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</si>
  <si>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</si>
  <si>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</si>
  <si>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</si>
  <si>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</si>
  <si>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</si>
  <si>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</si>
  <si>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</si>
  <si>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</si>
  <si>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</si>
  <si>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</si>
  <si>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</si>
  <si>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</si>
  <si>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</si>
  <si>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</si>
  <si>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</si>
  <si>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</si>
  <si>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</si>
  <si>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</si>
  <si>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</si>
  <si>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</si>
  <si>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</si>
  <si>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</si>
  <si>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</si>
  <si>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</si>
  <si>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</si>
  <si>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</si>
  <si>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</si>
  <si>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</si>
  <si>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</si>
  <si>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</si>
  <si>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</si>
  <si>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</si>
  <si>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</si>
  <si>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</si>
  <si>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</si>
  <si>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</si>
  <si>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</si>
  <si>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</si>
  <si>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</si>
  <si>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</si>
  <si>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</si>
  <si>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</si>
  <si>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</si>
  <si>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</si>
  <si>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</si>
  <si>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</si>
  <si>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</si>
  <si>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</si>
  <si>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</si>
  <si>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</si>
  <si>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</si>
  <si>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</si>
  <si>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</si>
  <si>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</si>
  <si>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</si>
  <si>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</si>
  <si>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</si>
  <si>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</si>
  <si>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</si>
  <si>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</si>
  <si>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</si>
  <si>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</si>
  <si>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</si>
  <si>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</si>
  <si>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</si>
  <si>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</si>
  <si>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</si>
  <si>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</si>
  <si>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</si>
  <si>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</si>
  <si>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</si>
  <si>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</si>
  <si>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</si>
  <si>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</si>
  <si>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</si>
  <si>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</si>
  <si>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</si>
  <si>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</si>
  <si>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</si>
  <si>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</si>
  <si>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</si>
  <si>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</si>
  <si>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</si>
  <si>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</si>
  <si>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</si>
  <si>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</si>
  <si>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</si>
  <si>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</si>
  <si>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</si>
  <si>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</si>
  <si>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</si>
  <si>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</si>
  <si>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</si>
  <si>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</si>
  <si>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</si>
  <si>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</si>
  <si>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</si>
  <si>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</si>
  <si>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</si>
  <si>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</si>
  <si>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</si>
  <si>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</si>
  <si>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</si>
  <si>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</si>
  <si>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</si>
  <si>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</si>
  <si>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</si>
  <si>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</si>
  <si>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</si>
  <si>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</si>
  <si>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</si>
  <si>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</si>
  <si>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</si>
  <si>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</si>
  <si>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</si>
  <si>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</si>
  <si>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</si>
  <si>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</si>
  <si>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</si>
  <si>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</si>
  <si>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</si>
  <si>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</si>
  <si>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</si>
  <si>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</si>
  <si>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</si>
  <si>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</si>
  <si>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</si>
  <si>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</si>
  <si>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</si>
  <si>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</si>
  <si>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</si>
  <si>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</si>
  <si>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</si>
  <si>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</si>
  <si>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</si>
  <si>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</si>
  <si>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</si>
  <si>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</si>
  <si>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</si>
  <si>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</si>
  <si>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</si>
  <si>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</si>
  <si>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</si>
  <si>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</si>
  <si>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</si>
  <si>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</si>
  <si>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</si>
  <si>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</si>
  <si>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</si>
  <si>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</si>
  <si>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</si>
  <si>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</si>
  <si>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</si>
  <si>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</si>
  <si>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</si>
  <si>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</si>
  <si>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</si>
  <si>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</si>
  <si>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</si>
  <si>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</si>
  <si>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</si>
  <si>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</si>
  <si>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</si>
  <si>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</si>
  <si>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</si>
  <si>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</si>
  <si>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</si>
  <si>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</si>
  <si>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</si>
  <si>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</si>
  <si>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</si>
  <si>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</si>
  <si>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</si>
  <si>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</si>
  <si>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</si>
  <si>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</si>
  <si>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</si>
  <si>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</si>
  <si>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</si>
  <si>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</si>
  <si>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</si>
  <si>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</si>
  <si>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</si>
  <si>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</si>
  <si>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</si>
  <si>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</si>
  <si>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</si>
  <si>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</si>
  <si>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</si>
  <si>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</si>
  <si>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</si>
  <si>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</si>
  <si>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</si>
  <si>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</si>
  <si>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</si>
  <si>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</si>
  <si>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</si>
  <si>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</si>
  <si>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</si>
  <si>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</si>
  <si>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</si>
  <si>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</si>
  <si>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</si>
  <si>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</si>
  <si>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</si>
  <si>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</si>
  <si>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</si>
  <si>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</si>
  <si>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</si>
  <si>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</si>
  <si>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</si>
  <si>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</si>
  <si>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</si>
  <si>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</si>
  <si>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</si>
  <si>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</si>
  <si>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</si>
  <si>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</si>
  <si>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</si>
  <si>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</si>
  <si>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</si>
  <si>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</si>
  <si>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</si>
  <si>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</si>
  <si>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</si>
  <si>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</si>
  <si>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</si>
  <si>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</si>
  <si>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</si>
  <si>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</si>
  <si>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</si>
  <si>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</si>
  <si>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</si>
  <si>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</si>
  <si>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</si>
  <si>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</si>
  <si>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</si>
  <si>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</si>
  <si>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</si>
  <si>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</si>
  <si>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</si>
  <si>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</si>
  <si>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</si>
  <si>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</si>
  <si>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</si>
  <si>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</si>
  <si>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</si>
  <si>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</si>
  <si>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</si>
  <si>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</si>
  <si>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</si>
  <si>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</si>
  <si>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</si>
  <si>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</si>
  <si>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</si>
  <si>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</si>
  <si>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</si>
  <si>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</si>
  <si>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</si>
  <si>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</si>
  <si>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</si>
  <si>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</si>
  <si>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</si>
  <si>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</si>
  <si>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</si>
  <si>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</si>
  <si>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</si>
  <si>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</si>
  <si>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</si>
  <si>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</si>
  <si>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</si>
  <si>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</si>
  <si>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</si>
  <si>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</si>
  <si>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</si>
  <si>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</si>
  <si>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</si>
  <si>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</si>
  <si>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</si>
  <si>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</si>
  <si>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</si>
  <si>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</si>
  <si>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</si>
  <si>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</si>
  <si>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</si>
  <si>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</si>
  <si>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</si>
  <si>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</si>
  <si>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</si>
  <si>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</si>
  <si>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</si>
  <si>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</si>
  <si>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</si>
  <si>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</si>
  <si>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</si>
  <si>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</si>
  <si>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</si>
  <si>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</si>
  <si>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</si>
  <si>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</si>
  <si>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</si>
  <si>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</si>
  <si>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</si>
  <si>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</si>
  <si>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</si>
  <si>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</si>
  <si>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</si>
  <si>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</si>
  <si>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</si>
  <si>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</si>
  <si>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</si>
  <si>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</si>
  <si>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</si>
  <si>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</si>
  <si>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</si>
  <si>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</si>
  <si>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</si>
  <si>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</si>
  <si>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</si>
  <si>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</si>
  <si>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</si>
  <si>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</si>
  <si>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</si>
  <si>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</si>
  <si>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</si>
  <si>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</si>
  <si>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</si>
  <si>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</si>
  <si>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</si>
  <si>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</si>
  <si>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</si>
  <si>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</si>
  <si>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</si>
  <si>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</si>
  <si>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</si>
  <si>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</si>
  <si>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</si>
  <si>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</si>
  <si>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</si>
  <si>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</si>
  <si>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</si>
  <si>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</si>
  <si>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</si>
  <si>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</si>
  <si>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</si>
  <si>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</si>
  <si>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</si>
  <si>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</si>
  <si>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</si>
  <si>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</si>
  <si>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</si>
  <si>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</si>
  <si>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</si>
  <si>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</si>
  <si>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</si>
  <si>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</si>
  <si>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</si>
  <si>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</si>
  <si>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</si>
  <si>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</si>
  <si>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</si>
  <si>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</si>
  <si>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</si>
  <si>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</si>
  <si>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</si>
  <si>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</si>
  <si>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</si>
  <si>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</si>
  <si>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</si>
  <si>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</si>
  <si>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</si>
  <si>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</si>
  <si>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</si>
  <si>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</si>
  <si>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</si>
  <si>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</si>
  <si>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</si>
  <si>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</si>
  <si>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</si>
  <si>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</si>
  <si>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</si>
  <si>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</si>
  <si>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</si>
  <si>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</si>
  <si>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</si>
  <si>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</si>
  <si>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</si>
  <si>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</si>
  <si>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</si>
  <si>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</si>
  <si>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</si>
  <si>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</si>
  <si>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</si>
  <si>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</si>
  <si>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</si>
  <si>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</si>
  <si>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</si>
  <si>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</si>
  <si>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</si>
  <si>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</si>
  <si>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</si>
  <si>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</si>
  <si>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</si>
  <si>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</si>
  <si>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</si>
  <si>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</si>
  <si>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</si>
  <si>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</si>
  <si>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</si>
  <si>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</si>
  <si>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</si>
  <si>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</si>
  <si>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</si>
  <si>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</si>
  <si>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</si>
  <si>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</si>
  <si>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</si>
  <si>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</si>
  <si>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</si>
  <si>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</si>
  <si>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</si>
  <si>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</si>
  <si>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</si>
  <si>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</si>
  <si>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</si>
  <si>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</si>
  <si>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</si>
  <si>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</si>
  <si>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</si>
  <si>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</si>
  <si>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</si>
  <si>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</si>
  <si>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</si>
  <si>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</si>
  <si>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</si>
  <si>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</si>
  <si>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</si>
  <si>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</si>
  <si>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</si>
  <si>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</si>
  <si>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</si>
  <si>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</si>
  <si>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</si>
  <si>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</si>
  <si>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</si>
  <si>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</si>
  <si>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</si>
  <si>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</si>
  <si>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</si>
  <si>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</si>
  <si>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</si>
  <si>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</si>
  <si>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</si>
  <si>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</si>
  <si>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</si>
  <si>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</si>
  <si>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</si>
  <si>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</si>
  <si>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</si>
  <si>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</si>
  <si>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</si>
  <si>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</si>
  <si>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</si>
  <si>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</si>
  <si>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</si>
  <si>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</si>
  <si>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</si>
  <si>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</si>
  <si>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</si>
  <si>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</si>
  <si>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</si>
  <si>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</si>
  <si>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</si>
  <si>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</si>
  <si>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</si>
  <si>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</si>
  <si>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</si>
  <si>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</si>
  <si>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</si>
  <si>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</si>
  <si>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</si>
  <si>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</si>
  <si>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</si>
  <si>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</si>
  <si>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</si>
  <si>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</si>
  <si>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</si>
  <si>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</si>
  <si>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</si>
  <si>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</si>
  <si>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</si>
  <si>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</si>
  <si>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</si>
  <si>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</si>
  <si>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</si>
  <si>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</si>
  <si>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</si>
  <si>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</si>
  <si>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</si>
  <si>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</si>
  <si>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</si>
  <si>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</si>
  <si>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</si>
  <si>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</si>
  <si>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</si>
  <si>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</si>
  <si>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</si>
  <si>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</si>
  <si>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</si>
  <si>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</si>
  <si>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</si>
  <si>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</si>
  <si>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</si>
  <si>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</si>
  <si>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</si>
  <si>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</si>
  <si>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</si>
  <si>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</si>
  <si>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</si>
  <si>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</si>
  <si>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</si>
  <si>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</si>
  <si>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</si>
  <si>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</si>
  <si>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</si>
  <si>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</si>
  <si>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</si>
  <si>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</si>
  <si>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</si>
  <si>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</si>
  <si>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</si>
  <si>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</si>
  <si>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</si>
  <si>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</si>
  <si>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</si>
  <si>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</si>
  <si>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</si>
  <si>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</si>
  <si>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</si>
  <si>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</si>
  <si>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</si>
  <si>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</si>
  <si>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</si>
  <si>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</si>
  <si>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</si>
  <si>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</si>
  <si>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</si>
  <si>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</si>
  <si>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</si>
  <si>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</si>
  <si>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</si>
  <si>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</si>
  <si>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</si>
  <si>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</si>
  <si>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</si>
  <si>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</si>
  <si>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</si>
  <si>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</si>
  <si>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</si>
  <si>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</si>
  <si>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</si>
  <si>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</si>
  <si>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</si>
  <si>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</si>
  <si>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</si>
  <si>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</si>
  <si>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</si>
  <si>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</si>
  <si>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</si>
  <si>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</si>
  <si>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</si>
  <si>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</si>
  <si>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</si>
  <si>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</si>
  <si>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</si>
  <si>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</si>
  <si>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</si>
  <si>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</si>
  <si>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</si>
  <si>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</si>
  <si>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</si>
  <si>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</si>
  <si>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</si>
  <si>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</si>
  <si>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</si>
  <si>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</si>
  <si>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</si>
  <si>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</si>
  <si>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</si>
  <si>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</si>
  <si>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</si>
  <si>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</si>
  <si>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</si>
  <si>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</si>
  <si>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</si>
  <si>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</si>
  <si>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</si>
  <si>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</si>
  <si>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</si>
  <si>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</si>
  <si>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</si>
  <si>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</si>
  <si>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</si>
  <si>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</si>
  <si>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</si>
  <si>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</si>
  <si>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</si>
  <si>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</si>
  <si>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</si>
  <si>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</si>
  <si>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</si>
  <si>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</si>
  <si>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</si>
  <si>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</si>
  <si>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</si>
  <si>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</si>
  <si>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</si>
  <si>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</si>
  <si>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</si>
  <si>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</si>
  <si>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</si>
  <si>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</si>
  <si>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</si>
  <si>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</si>
  <si>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</si>
  <si>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</si>
  <si>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</si>
  <si>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</si>
  <si>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</si>
  <si>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</si>
  <si>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</si>
  <si>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</si>
  <si>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</si>
  <si>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</si>
  <si>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</si>
  <si>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</si>
  <si>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</si>
  <si>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</si>
  <si>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</si>
  <si>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</si>
  <si>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</si>
  <si>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</si>
  <si>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</si>
  <si>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</si>
  <si>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</si>
  <si>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</si>
  <si>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</si>
  <si>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</si>
  <si>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</si>
  <si>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</si>
  <si>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</si>
  <si>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</si>
  <si>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</si>
  <si>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</si>
  <si>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</si>
  <si>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</si>
  <si>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</si>
  <si>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</si>
  <si>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</si>
  <si>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</si>
  <si>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</si>
  <si>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</si>
  <si>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</si>
  <si>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</si>
  <si>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</si>
  <si>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</si>
  <si>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</si>
  <si>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</si>
  <si>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</si>
  <si>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</si>
  <si>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</si>
  <si>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</si>
  <si>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</si>
  <si>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</si>
  <si>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</si>
  <si>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</si>
  <si>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</si>
  <si>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</si>
  <si>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</si>
  <si>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</si>
  <si>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</si>
  <si>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</si>
  <si>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</si>
  <si>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</si>
  <si>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</si>
  <si>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</si>
  <si>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</si>
  <si>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</si>
  <si>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</si>
  <si>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</si>
  <si>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</si>
  <si>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</si>
  <si>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</si>
  <si>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</si>
  <si>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</si>
  <si>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</si>
  <si>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</si>
  <si>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</si>
  <si>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</si>
  <si>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</si>
  <si>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</si>
  <si>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</si>
  <si>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</si>
  <si>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</si>
  <si>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</si>
  <si>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</si>
  <si>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</si>
  <si>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</si>
  <si>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</si>
  <si>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</si>
  <si>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</si>
  <si>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</si>
  <si>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</si>
  <si>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</si>
  <si>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</si>
  <si>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</si>
  <si>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</si>
  <si>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</si>
  <si>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</si>
  <si>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</si>
  <si>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</si>
  <si>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</si>
  <si>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</si>
  <si>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</si>
  <si>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</si>
  <si>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</si>
  <si>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</si>
  <si>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</si>
  <si>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</si>
  <si>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</si>
  <si>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</si>
  <si>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</si>
  <si>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</si>
  <si>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</si>
  <si>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</si>
  <si>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</si>
  <si>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</si>
  <si>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</si>
  <si>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</si>
  <si>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</si>
  <si>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</si>
  <si>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</si>
  <si>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</si>
  <si>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</si>
  <si>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</si>
  <si>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</si>
  <si>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</si>
  <si>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</si>
  <si>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</si>
  <si>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</si>
  <si>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</si>
  <si>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</si>
  <si>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</si>
  <si>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</si>
  <si>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</si>
  <si>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</si>
  <si>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</si>
  <si>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</si>
  <si>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</si>
  <si>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</si>
  <si>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</si>
  <si>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</si>
  <si>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</si>
  <si>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</si>
  <si>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</si>
  <si>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</si>
  <si>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</si>
  <si>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</si>
  <si>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</si>
  <si>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</si>
  <si>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</si>
  <si>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</si>
  <si>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</si>
  <si>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</si>
  <si>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</si>
  <si>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</si>
  <si>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</si>
  <si>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</si>
  <si>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</si>
  <si>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</si>
  <si>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</si>
  <si>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</si>
  <si>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</si>
  <si>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</si>
  <si>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</si>
  <si>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</si>
  <si>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</si>
  <si>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</si>
  <si>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</si>
  <si>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</si>
  <si>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</si>
  <si>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</si>
  <si>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</si>
  <si>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</si>
  <si>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</si>
  <si>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</si>
  <si>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</si>
  <si>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</si>
  <si>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</si>
  <si>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</si>
  <si>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</si>
  <si>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</si>
  <si>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</si>
  <si>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</si>
  <si>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</si>
  <si>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</si>
  <si>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</si>
  <si>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</si>
  <si>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</si>
  <si>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</si>
  <si>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</si>
  <si>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</si>
  <si>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</si>
  <si>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</si>
  <si>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</si>
  <si>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</si>
  <si>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</si>
  <si>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</si>
  <si>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</si>
  <si>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</si>
  <si>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</si>
  <si>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</si>
  <si>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</si>
  <si>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</si>
  <si>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</si>
  <si>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</si>
  <si>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</si>
  <si>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</si>
  <si>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</si>
  <si>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</si>
  <si>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</si>
  <si>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</si>
  <si>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</si>
  <si>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</si>
  <si>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</si>
  <si>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</si>
  <si>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</si>
  <si>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</si>
  <si>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</si>
  <si>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</si>
  <si>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</si>
  <si>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</si>
  <si>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</si>
  <si>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</si>
  <si>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</si>
  <si>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</si>
  <si>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</si>
  <si>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</si>
  <si>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</si>
  <si>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</si>
  <si>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</si>
  <si>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</si>
  <si>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</si>
  <si>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</si>
  <si>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</si>
  <si>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</si>
  <si>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</si>
  <si>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</si>
  <si>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</si>
  <si>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</si>
  <si>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</si>
  <si>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</si>
  <si>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</si>
  <si>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</si>
  <si>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</si>
  <si>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</si>
  <si>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</si>
  <si>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</si>
  <si>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</si>
  <si>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</si>
  <si>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</si>
  <si>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</si>
  <si>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</si>
  <si>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</si>
  <si>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</si>
  <si>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</si>
  <si>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</si>
  <si>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</si>
  <si>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</si>
  <si>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</si>
  <si>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</si>
  <si>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</si>
  <si>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</si>
  <si>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</si>
  <si>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</si>
  <si>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</si>
  <si>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</si>
  <si>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</si>
  <si>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</si>
  <si>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</si>
  <si>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</si>
  <si>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</si>
  <si>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</si>
  <si>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</si>
  <si>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</si>
  <si>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</si>
  <si>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</si>
  <si>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</si>
  <si>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</si>
  <si>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</si>
  <si>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</si>
  <si>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</si>
  <si>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</si>
  <si>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</si>
  <si>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</si>
  <si>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</si>
  <si>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</si>
  <si>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</si>
  <si>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</si>
  <si>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</si>
  <si>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</si>
  <si>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</si>
  <si>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</si>
  <si>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</si>
  <si>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</si>
  <si>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</si>
  <si>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</si>
  <si>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</si>
  <si>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</si>
  <si>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</si>
  <si>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</si>
  <si>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</si>
  <si>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</si>
  <si>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</si>
  <si>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</si>
  <si>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</si>
  <si>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</si>
  <si>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</si>
  <si>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</si>
  <si>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</si>
  <si>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</si>
  <si>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</si>
  <si>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</si>
  <si>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</si>
  <si>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</si>
  <si>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</si>
  <si>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</si>
  <si>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</si>
  <si>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</si>
  <si>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</si>
  <si>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</si>
  <si>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</si>
  <si>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</si>
  <si>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</si>
  <si>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</si>
  <si>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</si>
  <si>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</si>
  <si>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</si>
  <si>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</si>
  <si>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</si>
  <si>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</si>
  <si>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</si>
  <si>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</si>
  <si>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</si>
  <si>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</si>
  <si>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</si>
  <si>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</si>
  <si>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</si>
  <si>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</si>
  <si>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</si>
  <si>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</si>
  <si>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</si>
  <si>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</si>
  <si>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</si>
  <si>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</si>
  <si>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</si>
  <si>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</si>
  <si>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</si>
  <si>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</si>
  <si>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</si>
  <si>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</si>
  <si>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</si>
  <si>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</si>
  <si>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</si>
  <si>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</si>
  <si>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</si>
  <si>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</si>
  <si>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</si>
  <si>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</si>
  <si>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</si>
  <si>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</si>
  <si>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</si>
  <si>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</si>
  <si>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</si>
  <si>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</si>
  <si>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</si>
  <si>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</si>
  <si>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</si>
  <si>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</si>
  <si>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</si>
  <si>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</si>
  <si>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</si>
  <si>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</si>
  <si>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</si>
  <si>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</si>
  <si>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</si>
  <si>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</si>
  <si>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</si>
  <si>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</si>
  <si>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</si>
  <si>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</si>
  <si>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</si>
  <si>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</si>
  <si>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</si>
  <si>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</si>
  <si>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</si>
  <si>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</si>
  <si>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</si>
  <si>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</si>
  <si>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</si>
  <si>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</si>
  <si>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</si>
  <si>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</si>
  <si>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</si>
  <si>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</si>
  <si>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</si>
  <si>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</si>
  <si>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</si>
  <si>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</si>
  <si>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</si>
  <si>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</si>
  <si>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</si>
  <si>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</si>
  <si>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</si>
  <si>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</si>
  <si>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</si>
  <si>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</si>
  <si>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</si>
  <si>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</si>
  <si>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</si>
  <si>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</si>
  <si>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</si>
  <si>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</si>
  <si>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</si>
  <si>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</si>
  <si>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</si>
  <si>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</si>
  <si>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</si>
  <si>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</si>
  <si>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</si>
  <si>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</si>
  <si>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</si>
  <si>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</si>
  <si>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</si>
  <si>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</si>
  <si>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</si>
  <si>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</si>
  <si>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</si>
  <si>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</si>
  <si>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</si>
  <si>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</si>
  <si>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</si>
  <si>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</si>
  <si>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</si>
  <si>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</si>
  <si>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</si>
  <si>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</si>
  <si>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</si>
  <si>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</si>
  <si>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</si>
  <si>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</si>
  <si>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</si>
  <si>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</si>
  <si>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</si>
  <si>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</si>
  <si>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</si>
  <si>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</si>
  <si>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</si>
  <si>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</si>
  <si>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</si>
  <si>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</si>
  <si>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</si>
  <si>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</si>
  <si>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</si>
  <si>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</si>
  <si>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</si>
  <si>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</si>
  <si>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</si>
  <si>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</si>
  <si>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</si>
  <si>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</si>
  <si>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</si>
  <si>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</si>
  <si>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</si>
  <si>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</si>
  <si>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</si>
  <si>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</si>
  <si>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</si>
  <si>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</si>
  <si>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</si>
  <si>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</si>
  <si>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</si>
  <si>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</si>
  <si>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</si>
  <si>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</si>
  <si>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</si>
  <si>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</si>
  <si>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</si>
  <si>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</si>
  <si>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</si>
  <si>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</si>
  <si>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</si>
  <si>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</si>
  <si>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</si>
  <si>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</si>
  <si>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</si>
  <si>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</si>
  <si>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</si>
  <si>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</si>
  <si>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</si>
  <si>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</si>
  <si>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</si>
  <si>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</si>
  <si>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</si>
  <si>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</si>
  <si>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</si>
  <si>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</si>
  <si>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</si>
  <si>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</si>
  <si>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</si>
  <si>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</si>
  <si>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</si>
  <si>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</si>
  <si>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</si>
  <si>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</si>
  <si>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</si>
  <si>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</si>
  <si>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</si>
  <si>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</si>
  <si>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</si>
  <si>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</si>
  <si>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</si>
  <si>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</si>
  <si>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</si>
  <si>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</si>
  <si>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</si>
  <si>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</si>
  <si>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</si>
  <si>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</si>
  <si>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</si>
  <si>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</si>
  <si>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</si>
  <si>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</si>
  <si>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</si>
  <si>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</si>
  <si>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</si>
  <si>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</si>
  <si>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</si>
  <si>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</si>
  <si>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</si>
  <si>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</si>
  <si>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</si>
  <si>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</si>
  <si>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</si>
  <si>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</si>
  <si>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</si>
  <si>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</si>
  <si>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</si>
  <si>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</si>
  <si>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</si>
  <si>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</si>
  <si>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</si>
  <si>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</si>
  <si>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</si>
  <si>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</si>
  <si>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</si>
  <si>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</si>
  <si>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</si>
  <si>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</si>
  <si>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</si>
  <si>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</si>
  <si>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</si>
  <si>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</si>
  <si>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</si>
  <si>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</si>
  <si>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</si>
  <si>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</si>
  <si>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</si>
  <si>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</si>
  <si>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</si>
  <si>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</si>
  <si>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</si>
  <si>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</si>
  <si>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</si>
  <si>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</si>
  <si>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</si>
  <si>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</si>
  <si>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</si>
  <si>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</si>
  <si>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</si>
  <si>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</si>
  <si>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</si>
  <si>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</si>
  <si>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</si>
  <si>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</si>
  <si>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</si>
  <si>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</si>
  <si>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</si>
  <si>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</si>
  <si>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</si>
  <si>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</si>
  <si>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</si>
  <si>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</si>
  <si>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</si>
  <si>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</si>
  <si>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</si>
  <si>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</si>
  <si>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</si>
  <si>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</si>
  <si>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</si>
  <si>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</si>
  <si>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</si>
  <si>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</si>
  <si>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</si>
  <si>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</si>
  <si>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</si>
  <si>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</si>
  <si>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</si>
  <si>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</si>
  <si>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</si>
  <si>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</si>
  <si>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</si>
  <si>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</si>
  <si>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</si>
  <si>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</si>
  <si>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</si>
  <si>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</si>
  <si>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</si>
  <si>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</si>
  <si>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</si>
  <si>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</si>
  <si>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</si>
  <si>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</si>
  <si>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</si>
  <si>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</si>
  <si>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</si>
  <si>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</si>
  <si>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</si>
  <si>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</si>
  <si>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</si>
  <si>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</si>
  <si>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</si>
  <si>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</si>
  <si>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</si>
  <si>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</si>
  <si>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</si>
  <si>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</si>
  <si>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</si>
  <si>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</si>
  <si>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</si>
  <si>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</si>
  <si>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</si>
  <si>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</si>
  <si>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</si>
  <si>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</si>
  <si>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</si>
  <si>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</si>
  <si>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</si>
  <si>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</si>
  <si>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</si>
  <si>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</si>
  <si>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</si>
  <si>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</si>
  <si>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</si>
  <si>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</si>
  <si>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</si>
  <si>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</si>
  <si>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</si>
  <si>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</si>
  <si>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</si>
  <si>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</si>
  <si>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</si>
  <si>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</si>
  <si>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</si>
  <si>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</si>
  <si>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</si>
  <si>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</si>
  <si>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</si>
  <si>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</si>
  <si>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</si>
  <si>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</si>
  <si>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</si>
  <si>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</si>
  <si>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</si>
  <si>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</si>
  <si>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</si>
  <si>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</si>
  <si>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</si>
  <si>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</si>
  <si>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</si>
  <si>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</si>
  <si>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</si>
  <si>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</si>
  <si>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</si>
  <si>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</si>
  <si>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</si>
  <si>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</si>
  <si>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</si>
  <si>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</si>
  <si>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</si>
  <si>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</si>
  <si>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</si>
  <si>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</si>
  <si>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</si>
  <si>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</si>
  <si>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</si>
  <si>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</si>
  <si>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</si>
  <si>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</si>
  <si>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</si>
  <si>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</si>
  <si>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</si>
  <si>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</si>
  <si>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</si>
  <si>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</si>
  <si>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</si>
  <si>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</si>
  <si>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</si>
  <si>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</si>
  <si>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</si>
  <si>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</si>
  <si>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</si>
  <si>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</si>
  <si>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</si>
  <si>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</si>
  <si>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</si>
  <si>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</si>
  <si>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</si>
  <si>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</si>
  <si>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</si>
  <si>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</si>
  <si>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</si>
  <si>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</si>
  <si>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</si>
  <si>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</si>
  <si>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</si>
  <si>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</si>
  <si>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</si>
  <si>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</si>
  <si>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</si>
  <si>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</si>
  <si>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</si>
  <si>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</si>
  <si>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</si>
  <si>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</si>
  <si>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</si>
  <si>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</si>
  <si>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</si>
  <si>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</si>
  <si>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</si>
  <si>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</si>
  <si>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</si>
  <si>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</si>
  <si>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</si>
  <si>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</si>
  <si>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</si>
  <si>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</si>
  <si>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</si>
  <si>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</si>
  <si>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</si>
  <si>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</si>
  <si>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</si>
  <si>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</si>
  <si>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</si>
  <si>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</si>
  <si>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</si>
  <si>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</si>
  <si>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</si>
  <si>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</si>
  <si>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</si>
  <si>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</si>
  <si>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</si>
  <si>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</si>
  <si>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</si>
  <si>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</si>
  <si>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</si>
  <si>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</si>
  <si>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</si>
  <si>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</si>
  <si>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</si>
  <si>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</si>
  <si>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</si>
  <si>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</si>
  <si>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</si>
  <si>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</si>
  <si>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</si>
  <si>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</si>
  <si>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</si>
  <si>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</si>
  <si>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</si>
  <si>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</si>
  <si>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</si>
  <si>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</si>
  <si>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</si>
  <si>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</si>
  <si>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</si>
  <si>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</si>
  <si>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</si>
  <si>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</si>
  <si>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</si>
  <si>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</si>
  <si>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</si>
  <si>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</si>
  <si>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</si>
  <si>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</si>
  <si>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</si>
  <si>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</si>
  <si>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</si>
  <si>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</si>
  <si>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</si>
  <si>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</si>
  <si>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</si>
  <si>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</si>
  <si>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</si>
  <si>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</si>
  <si>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</si>
  <si>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</si>
  <si>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</si>
  <si>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</si>
  <si>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</si>
  <si>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</si>
  <si>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</si>
  <si>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</si>
  <si>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</si>
  <si>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</si>
  <si>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</si>
  <si>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</si>
  <si>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</si>
  <si>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</si>
  <si>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</si>
  <si>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</si>
  <si>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</si>
  <si>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</si>
  <si>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</si>
  <si>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</si>
  <si>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</si>
  <si>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</si>
  <si>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</si>
  <si>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</si>
  <si>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</si>
  <si>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</si>
  <si>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</si>
  <si>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</si>
  <si>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</si>
  <si>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</si>
  <si>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</si>
  <si>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</si>
  <si>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</si>
  <si>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</si>
  <si>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</si>
  <si>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</si>
  <si>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</si>
  <si>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</si>
  <si>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</si>
  <si>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</si>
  <si>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</si>
  <si>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</si>
  <si>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</si>
  <si>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</si>
  <si>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</si>
  <si>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</si>
  <si>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</si>
  <si>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</si>
  <si>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</si>
  <si>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</si>
  <si>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</si>
  <si>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</si>
  <si>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</si>
  <si>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</si>
  <si>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</si>
  <si>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</si>
  <si>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</si>
  <si>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</si>
  <si>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</si>
  <si>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</si>
  <si>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</si>
  <si>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</si>
  <si>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</si>
  <si>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</si>
  <si>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</si>
  <si>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</si>
  <si>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</si>
  <si>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</si>
  <si>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</si>
  <si>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</si>
  <si>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</si>
  <si>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</si>
  <si>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</si>
  <si>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</si>
  <si>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</si>
  <si>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</si>
  <si>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</si>
  <si>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</si>
  <si>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</si>
  <si>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</si>
  <si>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</si>
  <si>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</si>
  <si>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</si>
  <si>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</si>
  <si>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</si>
  <si>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</si>
  <si>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</si>
  <si>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</si>
  <si>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</si>
  <si>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</si>
  <si>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</si>
  <si>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</si>
  <si>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</si>
  <si>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</si>
  <si>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</si>
  <si>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</si>
  <si>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</si>
  <si>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</si>
  <si>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</si>
  <si>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</si>
  <si>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</si>
  <si>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</si>
  <si>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</si>
  <si>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</si>
  <si>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</si>
  <si>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</si>
  <si>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</si>
  <si>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</si>
  <si>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</si>
  <si>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</si>
  <si>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</si>
  <si>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</si>
  <si>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</si>
  <si>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</si>
  <si>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</si>
  <si>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</si>
  <si>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</si>
  <si>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</si>
  <si>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</si>
  <si>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</si>
  <si>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</si>
  <si>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</si>
  <si>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</si>
  <si>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</si>
  <si>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</si>
  <si>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</si>
  <si>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</si>
  <si>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</si>
  <si>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</si>
  <si>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</si>
  <si>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</si>
  <si>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</si>
  <si>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</si>
  <si>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</si>
  <si>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</si>
  <si>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</si>
  <si>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</si>
  <si>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</si>
  <si>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</si>
  <si>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</si>
  <si>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</si>
  <si>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</si>
  <si>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</si>
  <si>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</si>
  <si>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</si>
  <si>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</si>
  <si>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</si>
  <si>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</si>
  <si>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</si>
  <si>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</si>
  <si>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</si>
  <si>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</si>
  <si>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</si>
  <si>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</si>
  <si>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</si>
  <si>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</si>
  <si>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</si>
  <si>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</si>
  <si>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</si>
  <si>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</si>
  <si>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</si>
  <si>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</si>
  <si>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</si>
  <si>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</si>
  <si>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</si>
  <si>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</si>
  <si>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</si>
  <si>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</si>
  <si>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</si>
  <si>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</si>
  <si>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</si>
  <si>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</si>
  <si>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</si>
  <si>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</si>
  <si>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</si>
  <si>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</si>
  <si>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</si>
  <si>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</si>
  <si>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</si>
  <si>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</si>
  <si>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</si>
  <si>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</si>
  <si>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</si>
  <si>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</si>
  <si>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</si>
  <si>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</si>
  <si>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</si>
  <si>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</si>
  <si>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</si>
  <si>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</si>
  <si>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</si>
  <si>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</si>
  <si>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</si>
  <si>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</si>
  <si>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</si>
  <si>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</si>
  <si>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</si>
  <si>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</si>
  <si>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</si>
  <si>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</si>
  <si>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</si>
  <si>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</si>
  <si>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</si>
  <si>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</si>
  <si>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</si>
  <si>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</si>
  <si>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</si>
  <si>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</si>
  <si>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</si>
  <si>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</si>
  <si>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</si>
  <si>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</si>
  <si>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</si>
  <si>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</si>
  <si>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</si>
  <si>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</si>
  <si>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</si>
  <si>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</si>
  <si>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</si>
  <si>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</si>
  <si>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</si>
  <si>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</si>
  <si>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</si>
  <si>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</si>
  <si>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</si>
  <si>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</si>
  <si>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</si>
  <si>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</si>
  <si>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</si>
  <si>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</si>
  <si>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</si>
  <si>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</si>
  <si>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</si>
  <si>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</si>
  <si>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</si>
  <si>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</si>
  <si>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</si>
  <si>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</si>
  <si>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</si>
  <si>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</si>
  <si>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</si>
  <si>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</si>
  <si>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</si>
  <si>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</si>
  <si>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</si>
  <si>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</si>
  <si>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</si>
  <si>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</si>
  <si>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</si>
  <si>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</si>
  <si>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</si>
  <si>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</si>
  <si>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</si>
  <si>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</si>
  <si>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</si>
  <si>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</si>
  <si>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</si>
  <si>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</si>
  <si>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</si>
  <si>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</si>
  <si>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</si>
  <si>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</si>
  <si>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</si>
  <si>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</si>
  <si>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</si>
  <si>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</si>
  <si>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</si>
  <si>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</si>
  <si>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</si>
  <si>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</si>
  <si>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</si>
  <si>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</si>
  <si>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</si>
  <si>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</si>
  <si>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</si>
  <si>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</si>
  <si>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</si>
  <si>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</si>
  <si>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</si>
  <si>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</si>
  <si>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</si>
  <si>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</si>
  <si>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</si>
  <si>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</si>
  <si>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</si>
  <si>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</si>
  <si>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</si>
  <si>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</si>
  <si>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</si>
  <si>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</si>
  <si>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</si>
  <si>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</si>
  <si>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</si>
  <si>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</si>
  <si>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</si>
  <si>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</si>
  <si>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</si>
  <si>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</si>
  <si>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</si>
  <si>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</si>
  <si>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</si>
  <si>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</si>
  <si>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</si>
  <si>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</si>
  <si>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</si>
  <si>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</si>
  <si>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</si>
  <si>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</si>
  <si>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</si>
  <si>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</si>
  <si>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</si>
  <si>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</si>
  <si>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</si>
  <si>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</si>
  <si>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</si>
  <si>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</si>
  <si>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</si>
  <si>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</si>
  <si>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</si>
  <si>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</si>
  <si>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</si>
  <si>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</si>
  <si>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</si>
  <si>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</si>
  <si>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</si>
  <si>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</si>
  <si>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</si>
  <si>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</si>
  <si>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</si>
  <si>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</si>
  <si>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</si>
  <si>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</si>
  <si>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</si>
  <si>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</si>
  <si>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</si>
  <si>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</si>
  <si>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</si>
  <si>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</si>
  <si>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</si>
  <si>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</si>
  <si>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</si>
  <si>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</si>
  <si>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</si>
  <si>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</si>
  <si>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</si>
  <si>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</si>
  <si>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</si>
  <si>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</si>
  <si>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</si>
  <si>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</si>
  <si>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</si>
  <si>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</si>
  <si>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</si>
  <si>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</si>
  <si>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</si>
  <si>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</si>
  <si>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</si>
  <si>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</si>
  <si>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</si>
  <si>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</si>
  <si>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</si>
  <si>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</si>
  <si>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</si>
  <si>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</si>
  <si>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</si>
  <si>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</si>
  <si>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</si>
  <si>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</si>
  <si>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</si>
  <si>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</si>
  <si>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</si>
  <si>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</si>
  <si>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</si>
  <si>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</si>
  <si>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</si>
  <si>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</si>
  <si>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</si>
  <si>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</si>
  <si>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</si>
  <si>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</si>
  <si>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</si>
  <si>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</si>
  <si>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</si>
  <si>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</si>
  <si>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</si>
  <si>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</si>
  <si>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</si>
  <si>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</si>
  <si>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</si>
  <si>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</si>
  <si>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</si>
  <si>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</si>
  <si>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</si>
  <si>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</si>
  <si>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</si>
  <si>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</si>
  <si>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</si>
  <si>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</si>
  <si>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</si>
  <si>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</si>
  <si>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</si>
  <si>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</si>
  <si>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</si>
  <si>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</si>
  <si>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</si>
  <si>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</si>
  <si>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</si>
  <si>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</si>
  <si>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</si>
  <si>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</si>
  <si>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</si>
  <si>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</si>
  <si>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</si>
  <si>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</si>
  <si>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</si>
  <si>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</si>
  <si>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</si>
  <si>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</si>
  <si>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</si>
  <si>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</si>
  <si>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</si>
  <si>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</si>
  <si>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</si>
  <si>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</si>
  <si>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</si>
  <si>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</si>
  <si>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</si>
  <si>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</si>
  <si>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</si>
  <si>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</si>
  <si>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</si>
  <si>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</si>
  <si>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</si>
  <si>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</si>
  <si>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</si>
  <si>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</si>
  <si>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</si>
  <si>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</si>
  <si>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</si>
  <si>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</si>
  <si>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</si>
  <si>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</si>
  <si>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</si>
  <si>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</si>
  <si>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</si>
  <si>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</si>
  <si>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</si>
  <si>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</si>
  <si>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</si>
  <si>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</si>
  <si>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</si>
  <si>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</si>
  <si>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</si>
  <si>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</si>
  <si>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</si>
  <si>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</si>
  <si>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</si>
  <si>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</si>
  <si>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</si>
  <si>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</si>
  <si>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</si>
  <si>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</si>
  <si>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</si>
  <si>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</si>
  <si>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</si>
  <si>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</si>
  <si>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</si>
  <si>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</si>
  <si>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</si>
  <si>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</si>
  <si>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</si>
  <si>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</si>
  <si>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</si>
  <si>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</si>
  <si>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</si>
  <si>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</si>
  <si>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</si>
  <si>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</si>
  <si>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</si>
  <si>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</si>
  <si>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</si>
  <si>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</si>
  <si>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</si>
  <si>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</si>
  <si>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</si>
  <si>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</si>
  <si>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</si>
  <si>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</si>
  <si>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</si>
  <si>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</si>
  <si>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</si>
  <si>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</si>
  <si>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</si>
  <si>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</si>
  <si>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</si>
  <si>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</si>
  <si>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</si>
  <si>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</si>
  <si>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</si>
  <si>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</si>
  <si>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</si>
  <si>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</si>
  <si>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</si>
  <si>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</si>
  <si>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</si>
  <si>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</si>
  <si>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</si>
  <si>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</si>
  <si>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</si>
  <si>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</si>
  <si>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</si>
  <si>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</si>
  <si>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</si>
  <si>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</si>
  <si>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</si>
  <si>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</si>
  <si>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</si>
  <si>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</si>
  <si>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</si>
  <si>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</si>
  <si>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</si>
  <si>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</si>
  <si>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</si>
  <si>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</si>
  <si>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</si>
  <si>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</si>
  <si>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</si>
  <si>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</si>
  <si>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</si>
  <si>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</si>
  <si>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</si>
  <si>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</si>
  <si>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</si>
  <si>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</si>
  <si>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</si>
  <si>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</si>
  <si>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</si>
  <si>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</si>
  <si>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</si>
  <si>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</si>
  <si>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</si>
  <si>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</si>
  <si>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</si>
  <si>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</si>
  <si>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</si>
  <si>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</si>
  <si>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</si>
  <si>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</si>
  <si>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</si>
  <si>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</si>
  <si>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</si>
  <si>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</si>
  <si>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</si>
  <si>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</si>
  <si>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</si>
  <si>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</si>
  <si>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</si>
  <si>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</si>
  <si>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</si>
  <si>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</si>
  <si>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</si>
  <si>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</si>
  <si>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</si>
  <si>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</si>
  <si>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</si>
  <si>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</si>
  <si>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</si>
  <si>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</si>
  <si>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</si>
  <si>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</si>
  <si>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</si>
  <si>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</si>
  <si>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</si>
  <si>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</si>
  <si>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</si>
  <si>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</si>
  <si>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</si>
  <si>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</si>
  <si>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</si>
  <si>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</si>
  <si>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</si>
  <si>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</si>
  <si>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</si>
  <si>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</si>
  <si>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</si>
  <si>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</si>
  <si>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</si>
  <si>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</si>
  <si>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</si>
  <si>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</si>
  <si>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</si>
  <si>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</si>
  <si>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</si>
  <si>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</si>
  <si>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</si>
  <si>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</si>
  <si>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</si>
  <si>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</si>
  <si>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</si>
  <si>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</si>
  <si>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</si>
  <si>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</si>
  <si>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</si>
  <si>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</si>
  <si>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</si>
  <si>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</si>
  <si>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</si>
  <si>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</si>
  <si>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</si>
  <si>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</si>
  <si>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</si>
  <si>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</si>
  <si>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</si>
  <si>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</si>
  <si>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</si>
  <si>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</si>
  <si>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</si>
  <si>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</si>
  <si>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</si>
  <si>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</si>
  <si>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</si>
  <si>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</si>
  <si>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</si>
  <si>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</si>
  <si>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</si>
  <si>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</si>
  <si>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</si>
  <si>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</si>
  <si>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</si>
  <si>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</si>
  <si>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</si>
  <si>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</si>
  <si>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</si>
  <si>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</si>
  <si>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</si>
  <si>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</si>
  <si>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</si>
  <si>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</si>
  <si>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</si>
  <si>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</si>
  <si>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</si>
  <si>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</si>
  <si>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</si>
  <si>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</si>
  <si>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</si>
  <si>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</si>
  <si>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</si>
  <si>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</si>
  <si>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</si>
  <si>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</si>
  <si>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</si>
  <si>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</si>
  <si>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</si>
  <si>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</si>
  <si>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</si>
  <si>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</si>
  <si>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</si>
  <si>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</si>
  <si>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</si>
  <si>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</si>
  <si>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</si>
  <si>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</si>
  <si>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</si>
  <si>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</si>
  <si>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</si>
  <si>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</si>
  <si>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</si>
  <si>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</si>
  <si>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</si>
  <si>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</si>
  <si>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</si>
  <si>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</si>
  <si>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</si>
  <si>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</si>
  <si>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</si>
  <si>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</si>
  <si>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</si>
  <si>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</si>
  <si>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</si>
  <si>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</si>
  <si>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</si>
  <si>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</si>
  <si>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</si>
  <si>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</si>
  <si>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</si>
  <si>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</si>
  <si>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</si>
  <si>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</si>
  <si>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</si>
  <si>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</si>
  <si>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</si>
  <si>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</si>
  <si>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</si>
  <si>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</si>
  <si>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</si>
  <si>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</si>
  <si>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</si>
  <si>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</si>
  <si>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</si>
  <si>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</si>
  <si>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</si>
  <si>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</si>
  <si>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</si>
  <si>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</si>
  <si>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</si>
  <si>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</si>
  <si>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</si>
  <si>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</si>
  <si>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</si>
  <si>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</si>
  <si>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</si>
  <si>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</si>
  <si>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</si>
  <si>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</si>
  <si>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</si>
  <si>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</si>
  <si>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</si>
  <si>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</si>
  <si>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</si>
  <si>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</si>
  <si>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</si>
  <si>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</si>
  <si>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</si>
  <si>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</si>
  <si>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</si>
  <si>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</si>
  <si>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</si>
  <si>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</si>
  <si>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</si>
  <si>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</si>
  <si>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</si>
  <si>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</si>
  <si>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</si>
  <si>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</si>
  <si>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</si>
  <si>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</si>
  <si>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</si>
  <si>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</si>
  <si>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</si>
  <si>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</si>
  <si>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</si>
  <si>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</si>
  <si>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</si>
  <si>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</si>
  <si>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</si>
  <si>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</si>
  <si>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</si>
  <si>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</si>
  <si>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</si>
  <si>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</si>
  <si>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</si>
  <si>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</si>
  <si>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</si>
  <si>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</si>
  <si>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</si>
  <si>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</si>
  <si>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</si>
  <si>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</si>
  <si>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</si>
  <si>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</si>
  <si>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</si>
  <si>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</si>
  <si>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</si>
  <si>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</si>
  <si>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</si>
  <si>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</si>
  <si>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</si>
  <si>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</si>
  <si>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</si>
  <si>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</si>
  <si>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</si>
  <si>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</si>
  <si>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</si>
  <si>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</si>
  <si>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</si>
  <si>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</si>
  <si>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</si>
  <si>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</si>
  <si>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</si>
  <si>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</si>
  <si>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</si>
  <si>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</si>
  <si>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</si>
  <si>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</si>
  <si>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</si>
  <si>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</si>
  <si>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</si>
  <si>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</si>
  <si>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</si>
  <si>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</si>
  <si>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</si>
  <si>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</si>
  <si>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</si>
  <si>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</si>
  <si>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</si>
  <si>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</si>
  <si>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</si>
  <si>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</si>
  <si>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</si>
  <si>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</si>
  <si>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</si>
  <si>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</si>
  <si>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</si>
  <si>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</si>
  <si>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</si>
  <si>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</si>
  <si>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</si>
  <si>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</si>
  <si>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</si>
  <si>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</si>
  <si>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</si>
  <si>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</si>
  <si>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</si>
  <si>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</si>
  <si>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</si>
  <si>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</si>
  <si>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</si>
  <si>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</si>
  <si>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</si>
  <si>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</si>
  <si>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</si>
  <si>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</si>
  <si>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</si>
  <si>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</si>
  <si>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</si>
  <si>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</si>
  <si>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</si>
  <si>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</si>
  <si>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</si>
  <si>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</si>
  <si>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</si>
  <si>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</si>
  <si>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</si>
  <si>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</si>
  <si>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</si>
  <si>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</si>
  <si>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</si>
  <si>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</si>
  <si>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</si>
  <si>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</si>
  <si>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</si>
  <si>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</si>
  <si>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</si>
  <si>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</si>
  <si>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</si>
  <si>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</si>
  <si>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</si>
  <si>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</si>
  <si>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</si>
  <si>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</si>
  <si>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</si>
  <si>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</si>
  <si>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</si>
  <si>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</si>
  <si>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</si>
  <si>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</si>
  <si>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</si>
  <si>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</si>
  <si>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</si>
  <si>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</si>
  <si>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</si>
  <si>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</si>
  <si>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</si>
  <si>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</si>
  <si>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</si>
  <si>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</si>
  <si>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</si>
  <si>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</si>
  <si>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</si>
  <si>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</si>
  <si>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</si>
  <si>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</si>
  <si>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</si>
  <si>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</si>
  <si>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</si>
  <si>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</si>
  <si>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</si>
  <si>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</si>
  <si>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</si>
  <si>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</si>
  <si>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</si>
  <si>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</si>
  <si>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</si>
  <si>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</si>
  <si>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</si>
  <si>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</si>
  <si>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</si>
  <si>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</si>
  <si>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</si>
  <si>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</si>
  <si>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</si>
  <si>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</si>
  <si>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</si>
  <si>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</si>
  <si>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</si>
  <si>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</si>
  <si>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</si>
  <si>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</si>
  <si>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</si>
  <si>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</si>
  <si>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</si>
  <si>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</si>
  <si>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</si>
  <si>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</si>
  <si>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</si>
  <si>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</si>
  <si>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</si>
  <si>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</si>
  <si>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</si>
  <si>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</si>
  <si>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</si>
  <si>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</si>
  <si>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</si>
  <si>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</si>
  <si>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</si>
  <si>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</si>
  <si>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</si>
  <si>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</si>
  <si>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</si>
  <si>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</si>
  <si>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</si>
  <si>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</si>
  <si>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</si>
  <si>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</si>
  <si>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</si>
  <si>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</si>
  <si>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</si>
  <si>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</si>
  <si>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</si>
  <si>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</si>
  <si>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</si>
  <si>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</si>
  <si>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</si>
  <si>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</si>
  <si>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</si>
  <si>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</si>
  <si>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</si>
  <si>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</si>
  <si>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</si>
  <si>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</si>
  <si>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</si>
  <si>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</si>
  <si>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</si>
  <si>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</si>
  <si>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</si>
  <si>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</si>
  <si>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</si>
  <si>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</si>
  <si>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</si>
  <si>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</si>
  <si>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</si>
  <si>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</si>
  <si>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</si>
  <si>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</si>
  <si>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</si>
  <si>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</si>
  <si>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</si>
  <si>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</si>
  <si>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</si>
  <si>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</si>
  <si>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</si>
  <si>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</si>
  <si>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</si>
  <si>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</si>
  <si>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</si>
  <si>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</si>
  <si>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</si>
  <si>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</si>
  <si>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</si>
  <si>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</si>
  <si>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</si>
  <si>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</si>
  <si>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</si>
  <si>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</si>
  <si>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</si>
  <si>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</si>
  <si>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</si>
  <si>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</si>
  <si>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</si>
  <si>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</si>
  <si>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</si>
  <si>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</si>
  <si>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</si>
  <si>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</si>
  <si>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</si>
  <si>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</si>
  <si>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</si>
  <si>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</si>
  <si>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</si>
  <si>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</si>
  <si>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</si>
  <si>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</si>
  <si>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</si>
  <si>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</si>
  <si>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</si>
  <si>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</si>
  <si>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</si>
  <si>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</si>
  <si>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</si>
  <si>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</si>
  <si>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</si>
  <si>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</si>
  <si>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</si>
  <si>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</si>
  <si>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</si>
  <si>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</si>
  <si>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</si>
  <si>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</si>
  <si>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</si>
  <si>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</si>
  <si>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</si>
  <si>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</si>
  <si>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</si>
  <si>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</si>
  <si>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</si>
  <si>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</si>
  <si>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</si>
  <si>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</si>
  <si>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</si>
  <si>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</si>
  <si>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</si>
  <si>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</si>
  <si>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</si>
  <si>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</si>
  <si>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</si>
  <si>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</si>
  <si>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</si>
  <si>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</si>
  <si>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</si>
  <si>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</si>
  <si>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</si>
  <si>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</si>
  <si>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</si>
  <si>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</si>
  <si>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</si>
  <si>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</si>
  <si>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</si>
  <si>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</si>
  <si>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</si>
  <si>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</si>
  <si>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</si>
  <si>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</si>
  <si>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</si>
  <si>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</si>
  <si>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</si>
  <si>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</si>
  <si>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</si>
  <si>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</si>
  <si>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</si>
  <si>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</si>
  <si>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</si>
  <si>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</si>
  <si>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</si>
  <si>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</si>
  <si>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</si>
  <si>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</si>
  <si>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</si>
  <si>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</si>
  <si>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</si>
  <si>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</si>
  <si>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</si>
  <si>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</si>
  <si>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</si>
  <si>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</si>
  <si>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</si>
  <si>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</si>
  <si>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</si>
  <si>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</si>
  <si>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</si>
  <si>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</si>
  <si>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</si>
  <si>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</si>
  <si>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</si>
  <si>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</si>
  <si>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</si>
  <si>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</si>
  <si>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</si>
  <si>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</si>
  <si>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</si>
  <si>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</si>
  <si>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</si>
  <si>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</si>
  <si>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</si>
  <si>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</si>
  <si>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</si>
  <si>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</si>
  <si>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</si>
  <si>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</si>
  <si>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</si>
  <si>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</si>
  <si>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</si>
  <si>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</si>
  <si>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</si>
  <si>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</si>
  <si>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</si>
  <si>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</si>
  <si>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</si>
  <si>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</si>
  <si>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</si>
  <si>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</si>
  <si>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</si>
  <si>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</si>
  <si>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</si>
  <si>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</si>
  <si>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</si>
  <si>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</si>
  <si>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</si>
  <si>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</si>
  <si>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</si>
  <si>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</si>
  <si>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</si>
  <si>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</si>
  <si>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</si>
  <si>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</si>
  <si>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</si>
  <si>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</si>
  <si>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</si>
  <si>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</si>
  <si>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</si>
  <si>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</si>
  <si>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</si>
  <si>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</si>
  <si>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</si>
  <si>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</si>
  <si>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</si>
  <si>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</si>
  <si>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</si>
  <si>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</si>
  <si>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</si>
  <si>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</si>
  <si>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</si>
  <si>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</si>
  <si>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</si>
  <si>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</si>
  <si>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</si>
  <si>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</si>
  <si>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</si>
  <si>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</si>
  <si>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</si>
  <si>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</si>
  <si>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</si>
  <si>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</si>
  <si>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</si>
  <si>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</si>
  <si>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</si>
  <si>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</si>
  <si>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</si>
  <si>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</si>
  <si>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</si>
  <si>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</si>
  <si>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</si>
  <si>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</si>
  <si>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</si>
  <si>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</si>
  <si>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</si>
  <si>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</si>
  <si>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</si>
  <si>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</si>
  <si>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</si>
  <si>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</si>
  <si>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</si>
  <si>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</si>
  <si>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</si>
  <si>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</si>
  <si>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</si>
  <si>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</si>
  <si>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</si>
  <si>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</si>
  <si>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</si>
  <si>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</si>
  <si>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</si>
  <si>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</si>
  <si>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</si>
  <si>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</si>
  <si>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</si>
  <si>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</si>
  <si>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</si>
  <si>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</si>
  <si>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</si>
  <si>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</si>
  <si>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</si>
  <si>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</si>
  <si>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</si>
  <si>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</si>
  <si>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</si>
  <si>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</si>
  <si>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</si>
  <si>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</si>
  <si>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</si>
  <si>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</si>
  <si>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</si>
  <si>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</si>
  <si>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</si>
  <si>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</si>
  <si>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</si>
  <si>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</si>
  <si>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</si>
  <si>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</si>
  <si>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</si>
  <si>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</si>
  <si>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</si>
  <si>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</si>
  <si>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</si>
  <si>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</si>
  <si>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</si>
  <si>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</si>
  <si>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</si>
  <si>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</si>
  <si>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</si>
  <si>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</si>
  <si>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</si>
  <si>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</si>
  <si>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</si>
  <si>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</si>
  <si>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</si>
  <si>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</si>
  <si>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</si>
  <si>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</si>
  <si>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</si>
  <si>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</si>
  <si>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</si>
  <si>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</si>
  <si>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</si>
  <si>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</si>
  <si>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</si>
  <si>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</si>
  <si>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</si>
  <si>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</si>
  <si>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</si>
  <si>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</si>
  <si>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</si>
  <si>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</si>
  <si>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</si>
  <si>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</si>
  <si>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</si>
  <si>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</si>
  <si>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</si>
  <si>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</si>
  <si>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</si>
  <si>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</si>
  <si>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</si>
  <si>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</si>
  <si>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</si>
  <si>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</si>
  <si>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</si>
  <si>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</si>
  <si>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</si>
  <si>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</si>
  <si>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</si>
  <si>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</si>
  <si>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</si>
  <si>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</si>
  <si>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</si>
  <si>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</si>
  <si>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</si>
  <si>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</si>
  <si>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</si>
  <si>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</si>
  <si>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</si>
  <si>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</si>
  <si>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</si>
  <si>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</si>
  <si>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</si>
  <si>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</si>
  <si>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</si>
  <si>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</si>
  <si>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</si>
  <si>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</si>
  <si>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</si>
  <si>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</si>
  <si>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</si>
  <si>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</si>
  <si>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</si>
  <si>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</si>
  <si>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</si>
  <si>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</si>
  <si>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</si>
  <si>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</si>
  <si>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</si>
  <si>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</si>
  <si>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</si>
  <si>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</si>
  <si>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</si>
  <si>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</si>
  <si>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</si>
  <si>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</si>
  <si>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</si>
  <si>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</si>
  <si>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</si>
  <si>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</si>
  <si>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</si>
  <si>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</si>
  <si>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</si>
  <si>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</si>
  <si>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</si>
  <si>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</si>
  <si>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</si>
  <si>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</si>
  <si>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</si>
  <si>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</si>
  <si>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</si>
  <si>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</si>
  <si>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</si>
  <si>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</si>
  <si>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</si>
  <si>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</si>
  <si>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</si>
  <si>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</si>
  <si>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</si>
  <si>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</si>
  <si>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</si>
  <si>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</si>
  <si>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</si>
  <si>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</si>
  <si>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</si>
  <si>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</si>
  <si>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</si>
  <si>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</si>
  <si>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</si>
  <si>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</si>
  <si>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</si>
  <si>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</si>
  <si>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</si>
  <si>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</si>
  <si>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</si>
  <si>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</si>
  <si>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</si>
  <si>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</si>
  <si>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</si>
  <si>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</si>
  <si>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</si>
  <si>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</si>
  <si>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</si>
  <si>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</si>
  <si>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</si>
  <si>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</si>
  <si>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</si>
  <si>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</si>
  <si>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</si>
  <si>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</si>
  <si>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</si>
  <si>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</si>
  <si>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</si>
  <si>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</si>
  <si>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</si>
  <si>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</si>
  <si>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</si>
  <si>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</si>
  <si>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</si>
  <si>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</si>
  <si>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</si>
  <si>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</si>
  <si>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</si>
  <si>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</si>
  <si>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</si>
  <si>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</si>
  <si>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</si>
  <si>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</si>
  <si>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</si>
  <si>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</si>
  <si>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</si>
  <si>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</si>
  <si>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</si>
  <si>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</si>
  <si>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</si>
  <si>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</si>
  <si>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</si>
  <si>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</si>
  <si>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</si>
  <si>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</si>
  <si>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</si>
  <si>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</si>
  <si>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</si>
  <si>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</si>
  <si>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</si>
  <si>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</si>
  <si>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</si>
  <si>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</si>
  <si>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</si>
  <si>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</si>
  <si>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</si>
  <si>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</si>
  <si>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</si>
  <si>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</si>
  <si>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</si>
  <si>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</si>
  <si>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</si>
  <si>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</si>
  <si>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</si>
  <si>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</si>
  <si>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</si>
  <si>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</si>
  <si>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</si>
  <si>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</si>
  <si>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</si>
  <si>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</si>
  <si>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</si>
  <si>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</si>
  <si>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</si>
  <si>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</si>
  <si>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</si>
  <si>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</si>
  <si>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</si>
  <si>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</si>
  <si>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</si>
  <si>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</si>
  <si>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</si>
  <si>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</si>
  <si>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</si>
  <si>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</si>
  <si>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</si>
  <si>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</si>
  <si>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</si>
  <si>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</si>
  <si>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</si>
  <si>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</si>
  <si>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</si>
  <si>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</si>
  <si>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</si>
  <si>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</si>
  <si>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</si>
  <si>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</si>
  <si>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</si>
  <si>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</si>
  <si>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</si>
  <si>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</si>
  <si>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</si>
  <si>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</si>
  <si>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</si>
  <si>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</si>
  <si>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</si>
  <si>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</si>
  <si>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</si>
  <si>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</si>
  <si>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</si>
  <si>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</si>
  <si>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</si>
  <si>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</si>
  <si>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</si>
  <si>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</si>
  <si>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</si>
  <si>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</si>
  <si>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</si>
  <si>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</si>
  <si>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</si>
  <si>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</si>
  <si>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</si>
  <si>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</si>
  <si>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</si>
  <si>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</si>
  <si>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</si>
  <si>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</si>
  <si>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</si>
  <si>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</si>
  <si>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</si>
  <si>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</si>
  <si>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</si>
  <si>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</si>
  <si>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</si>
  <si>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</si>
  <si>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</si>
  <si>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</si>
  <si>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</si>
  <si>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</si>
  <si>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</si>
  <si>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</si>
  <si>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</si>
  <si>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</si>
  <si>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</si>
  <si>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</si>
  <si>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</si>
  <si>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</si>
  <si>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</si>
  <si>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</si>
  <si>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</si>
  <si>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</si>
  <si>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</si>
  <si>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</si>
  <si>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</si>
  <si>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</si>
  <si>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</si>
  <si>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</si>
  <si>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</si>
  <si>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</si>
  <si>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</si>
  <si>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</si>
  <si>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</si>
  <si>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</si>
  <si>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</si>
  <si>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</si>
  <si>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</si>
  <si>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</si>
  <si>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</si>
  <si>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</si>
  <si>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</si>
  <si>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</si>
  <si>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</si>
  <si>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</si>
  <si>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</si>
  <si>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</si>
  <si>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</si>
  <si>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</si>
  <si>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</si>
  <si>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</si>
  <si>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</si>
  <si>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</si>
  <si>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</si>
  <si>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</si>
  <si>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</si>
  <si>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</si>
  <si>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</si>
  <si>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</si>
  <si>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</si>
  <si>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</si>
  <si>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</si>
  <si>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</si>
  <si>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</si>
  <si>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</si>
  <si>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</si>
  <si>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</si>
  <si>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</si>
  <si>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</si>
  <si>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</si>
  <si>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</si>
  <si>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</si>
  <si>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</si>
  <si>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</si>
  <si>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</si>
  <si>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</si>
  <si>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</si>
  <si>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</si>
  <si>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</si>
  <si>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</si>
  <si>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</si>
  <si>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</si>
  <si>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</si>
  <si>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</si>
  <si>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</si>
  <si>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</si>
  <si>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</si>
  <si>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</si>
  <si>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</si>
  <si>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</si>
  <si>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</si>
  <si>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</si>
  <si>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</si>
  <si>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</si>
  <si>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</si>
  <si>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</si>
  <si>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</si>
  <si>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</si>
  <si>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</si>
  <si>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</si>
  <si>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</si>
  <si>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</si>
  <si>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</si>
  <si>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</si>
  <si>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</si>
  <si>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</si>
  <si>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</si>
  <si>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</si>
  <si>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</si>
  <si>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</si>
  <si>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</si>
  <si>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</si>
  <si>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</si>
  <si>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</si>
  <si>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</si>
  <si>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</si>
  <si>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</si>
  <si>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</si>
  <si>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</si>
  <si>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</si>
  <si>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</si>
  <si>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</si>
  <si>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</si>
  <si>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</si>
  <si>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</si>
  <si>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</si>
  <si>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</si>
  <si>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</si>
  <si>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</si>
  <si>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</si>
  <si>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</si>
  <si>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</si>
  <si>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</si>
  <si>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</si>
  <si>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</si>
  <si>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</si>
  <si>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</si>
  <si>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</si>
  <si>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</si>
  <si>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</si>
  <si>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</si>
  <si>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</si>
  <si>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</si>
  <si>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</si>
  <si>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</si>
  <si>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</si>
  <si>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</si>
  <si>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</si>
  <si>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</si>
  <si>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</si>
  <si>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</si>
  <si>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</si>
  <si>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</si>
  <si>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</si>
  <si>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</si>
  <si>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</si>
  <si>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</si>
  <si>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</si>
  <si>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</si>
  <si>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</si>
  <si>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</si>
  <si>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</si>
  <si>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</si>
  <si>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</si>
  <si>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</si>
  <si>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Erik Türkis-Renouf Metalle OHG</t>
  </si>
  <si>
    <t>Juliane Türkis-Renouf</t>
  </si>
  <si>
    <t>service@metall-spezialist.de</t>
  </si>
  <si>
    <t>06781-219651</t>
  </si>
  <si>
    <t>Still waiting for some responses, CMRT will be updated then</t>
  </si>
  <si>
    <t>Code of 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</si>
</sst>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ervice@metall-spezialist.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ervice@metall-spezialist.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23.75">
      <c r="A37" s="293"/>
      <c r="B37" s="141">
        <v>3.01</v>
      </c>
      <c r="C37" s="142" t="s">
        <v>70</v>
      </c>
      <c r="D37" s="28" t="s">
        <v>2251</v>
      </c>
      <c r="E37" s="167" t="s">
        <v>1323</v>
      </c>
      <c r="F37" s="168" t="s">
        <v>1427</v>
      </c>
      <c r="G37" s="25"/>
    </row>
    <row r="38" spans="1:7" ht="1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D83989-E1A6-4E58-83D7-B722F72B9E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6C0B5C-68F3-44F2-B95D-33191D87B7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3" sqref="AA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15799</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15799</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15800</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C1D4C7B-206D-4492-9FB1-7FBEA599AFAD}"/>
    <hyperlink ref="D20" r:id="rId4" xr:uid="{3369441D-F93E-4FF9-A3E6-E5C0977FAEE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D26" sqref="D2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1815</v>
      </c>
      <c r="B5" s="182" t="s">
        <v>1126</v>
      </c>
      <c r="C5" s="186" t="s">
        <v>15533</v>
      </c>
      <c r="D5" s="230"/>
      <c r="E5" s="182" t="s">
        <v>1091</v>
      </c>
      <c r="F5" s="182" t="s">
        <v>1815</v>
      </c>
      <c r="G5" s="182" t="s">
        <v>13240</v>
      </c>
      <c r="H5" s="183">
        <v>0</v>
      </c>
      <c r="I5" s="184" t="s">
        <v>1816</v>
      </c>
      <c r="J5" s="184" t="s">
        <v>3153</v>
      </c>
      <c r="K5" s="224"/>
      <c r="L5" s="224"/>
      <c r="M5" s="224"/>
      <c r="N5" s="224"/>
      <c r="O5" s="224"/>
      <c r="P5" s="185"/>
      <c r="Q5" s="225"/>
      <c r="R5" s="182" t="str">
        <f ca="1">IF(ISERROR($V5),"",OFFSET('Smelter Look-up'!$C$4,$V5-4,0)&amp;"")</f>
        <v>Aurubis Beerse</v>
      </c>
      <c r="S5" s="181" t="str">
        <f t="shared" ref="S5" ca="1" si="0">IF(B5="","",IF(ISERROR(MATCH($E5,CL,0)),"Unknown",INDIRECT("'C'!$A$"&amp;MATCH($E5,CL,0)+1)))</f>
        <v>BE</v>
      </c>
      <c r="T5" s="181" t="str">
        <f ca="1">IF(B5="","",IF(ISERROR(MATCH($J5,SorP!$B$1:$B$6279,0)),"",INDIRECT("'SorP'!$A$"&amp;MATCH($S5&amp;$J5,SorP!C:C,0))))</f>
        <v>BE-VAN</v>
      </c>
      <c r="U5" s="201"/>
      <c r="V5" s="226">
        <f>IF(C5="",NA(),IF(OR(C5="Smelter not listed",C5="Smelter not yet identified"),MATCH($B5&amp;$D5,'Smelter Look-up'!$J:$J,0),MATCH($B5&amp;$C5,'Smelter Look-up'!$J:$J,0)))</f>
        <v>394</v>
      </c>
      <c r="X5" s="227">
        <f t="shared" ref="X5" si="1">IF(AND(C5="Smelter not listed",OR(LEN(D5)=0,LEN(E5)=0)),1,0)</f>
        <v>0</v>
      </c>
      <c r="AB5" s="228" t="str">
        <f t="shared" ref="AB5" si="2">B5&amp;C5</f>
        <v>TinAurubis Beerse</v>
      </c>
    </row>
    <row r="6" spans="1:34" s="227" customFormat="1" ht="19.899999999999999" customHeight="1">
      <c r="A6" s="262" t="s">
        <v>785</v>
      </c>
      <c r="B6" s="182" t="s">
        <v>1126</v>
      </c>
      <c r="C6" s="186" t="s">
        <v>2532</v>
      </c>
      <c r="D6" s="230"/>
      <c r="E6" s="182" t="s">
        <v>1092</v>
      </c>
      <c r="F6" s="182" t="s">
        <v>785</v>
      </c>
      <c r="G6" s="182" t="s">
        <v>13240</v>
      </c>
      <c r="H6" s="183">
        <v>0</v>
      </c>
      <c r="I6" s="184" t="s">
        <v>1766</v>
      </c>
      <c r="J6" s="184" t="s">
        <v>1770</v>
      </c>
      <c r="K6" s="224"/>
      <c r="L6" s="224"/>
      <c r="M6" s="224"/>
      <c r="N6" s="224"/>
      <c r="O6" s="224"/>
      <c r="P6" s="185"/>
      <c r="Q6" s="225"/>
      <c r="R6" s="182" t="str">
        <f ca="1">IF(ISERROR($V6),"",OFFSET('Smelter Look-up'!$C$4,$V6-4,0)&amp;"")</f>
        <v>White Solder Metalurgia e Mineracao Ltda.</v>
      </c>
      <c r="S6" s="181" t="str">
        <f t="shared" ref="S6:S37" ca="1" si="3">IF(B6="","",IF(ISERROR(MATCH($E6,CL,0)),"Unknown",INDIRECT("'C'!$A$"&amp;MATCH($E6,CL,0)+1)))</f>
        <v>BR</v>
      </c>
      <c r="T6" s="181" t="str">
        <f ca="1">IF(B6="","",IF(ISERROR(MATCH($J6,SorP!$B$1:$B$6279,0)),"",INDIRECT("'SorP'!$A$"&amp;MATCH($S6&amp;$J6,SorP!C:C,0))))</f>
        <v>BR-RO</v>
      </c>
      <c r="U6" s="201"/>
      <c r="V6" s="226">
        <f>IF(C6="",NA(),IF(OR(C6="Smelter not listed",C6="Smelter not yet identified"),MATCH($B6&amp;$D6,'Smelter Look-up'!$J:$J,0),MATCH($B6&amp;$C6,'Smelter Look-up'!$J:$J,0)))</f>
        <v>535</v>
      </c>
      <c r="X6" s="227">
        <f t="shared" ref="X6:X37" si="4">IF(AND(C6="Smelter not listed",OR(LEN(D6)=0,LEN(E6)=0)),1,0)</f>
        <v>0</v>
      </c>
      <c r="AB6" s="228" t="str">
        <f t="shared" ref="AB6:AB37" si="5">B6&amp;C6</f>
        <v>TinWhite Solder Metalurgia e Mineracao Ltda.</v>
      </c>
    </row>
    <row r="7" spans="1:34" s="227" customFormat="1" ht="19.899999999999999" customHeight="1">
      <c r="A7" s="262" t="s">
        <v>780</v>
      </c>
      <c r="B7" s="182" t="s">
        <v>1126</v>
      </c>
      <c r="C7" s="186" t="s">
        <v>2157</v>
      </c>
      <c r="D7" s="230"/>
      <c r="E7" s="182" t="s">
        <v>1101</v>
      </c>
      <c r="F7" s="182" t="s">
        <v>780</v>
      </c>
      <c r="G7" s="182" t="s">
        <v>13240</v>
      </c>
      <c r="H7" s="183">
        <v>0</v>
      </c>
      <c r="I7" s="184" t="s">
        <v>1767</v>
      </c>
      <c r="J7" s="184" t="s">
        <v>12852</v>
      </c>
      <c r="K7" s="224"/>
      <c r="L7" s="224"/>
      <c r="M7" s="224"/>
      <c r="N7" s="224"/>
      <c r="O7" s="224"/>
      <c r="P7" s="185"/>
      <c r="Q7" s="225"/>
      <c r="R7" s="182" t="str">
        <f ca="1">IF(ISERROR($V7),"",OFFSET('Smelter Look-up'!$C$4,$V7-4,0)&amp;"")</f>
        <v>PT Refined Bangka Tin</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507</v>
      </c>
      <c r="X7" s="227">
        <f t="shared" si="4"/>
        <v>0</v>
      </c>
      <c r="AB7" s="228" t="str">
        <f t="shared" si="5"/>
        <v>TinPT Refined Bangka Tin</v>
      </c>
    </row>
    <row r="8" spans="1:34" s="227" customFormat="1" ht="19.899999999999999" customHeight="1">
      <c r="A8" s="262" t="s">
        <v>800</v>
      </c>
      <c r="B8" s="182" t="s">
        <v>1126</v>
      </c>
      <c r="C8" s="186" t="s">
        <v>13802</v>
      </c>
      <c r="D8" s="230"/>
      <c r="E8" s="182" t="s">
        <v>1101</v>
      </c>
      <c r="F8" s="182" t="s">
        <v>800</v>
      </c>
      <c r="G8" s="182" t="s">
        <v>13240</v>
      </c>
      <c r="H8" s="183">
        <v>0</v>
      </c>
      <c r="I8" s="184" t="s">
        <v>1792</v>
      </c>
      <c r="J8" s="184" t="s">
        <v>6065</v>
      </c>
      <c r="K8" s="224"/>
      <c r="L8" s="224"/>
      <c r="M8" s="224"/>
      <c r="N8" s="224"/>
      <c r="O8" s="224"/>
      <c r="P8" s="185"/>
      <c r="Q8" s="225"/>
      <c r="R8" s="182" t="str">
        <f ca="1">IF(ISERROR($V8),"",OFFSET('Smelter Look-up'!$C$4,$V8-4,0)&amp;"")</f>
        <v>PT Timah Tbk Kundur</v>
      </c>
      <c r="S8" s="181" t="str">
        <f t="shared" ca="1" si="3"/>
        <v>ID</v>
      </c>
      <c r="T8" s="181" t="str">
        <f ca="1">IF(B8="","",IF(ISERROR(MATCH($J8,SorP!$B$1:$B$6279,0)),"",INDIRECT("'SorP'!$A$"&amp;MATCH($S8&amp;$J8,SorP!C:C,0))))</f>
        <v>ID-RI</v>
      </c>
      <c r="U8" s="201"/>
      <c r="V8" s="226">
        <f>IF(C8="",NA(),IF(OR(C8="Smelter not listed",C8="Smelter not yet identified"),MATCH($B8&amp;$D8,'Smelter Look-up'!$J:$J,0),MATCH($B8&amp;$C8,'Smelter Look-up'!$J:$J,0)))</f>
        <v>513</v>
      </c>
      <c r="X8" s="227">
        <f t="shared" si="4"/>
        <v>0</v>
      </c>
      <c r="AB8" s="228" t="str">
        <f t="shared" si="5"/>
        <v>TinPT Timah Tbk Kundur</v>
      </c>
    </row>
    <row r="9" spans="1:34" s="227" customFormat="1" ht="19.899999999999999" customHeight="1">
      <c r="A9" s="262" t="s">
        <v>771</v>
      </c>
      <c r="B9" s="182" t="s">
        <v>1126</v>
      </c>
      <c r="C9" s="186" t="s">
        <v>817</v>
      </c>
      <c r="D9" s="230"/>
      <c r="E9" s="182" t="s">
        <v>1111</v>
      </c>
      <c r="F9" s="182" t="s">
        <v>771</v>
      </c>
      <c r="G9" s="182" t="s">
        <v>13240</v>
      </c>
      <c r="H9" s="183">
        <v>0</v>
      </c>
      <c r="I9" s="184" t="s">
        <v>1780</v>
      </c>
      <c r="J9" s="184" t="s">
        <v>8688</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IF(C9="",NA(),IF(OR(C9="Smelter not listed",C9="Smelter not yet identified"),MATCH($B9&amp;$D9,'Smelter Look-up'!$J:$J,0),MATCH($B9&amp;$C9,'Smelter Look-up'!$J:$J,0)))</f>
        <v>458</v>
      </c>
      <c r="X9" s="227">
        <f t="shared" si="4"/>
        <v>0</v>
      </c>
      <c r="AB9" s="228" t="str">
        <f t="shared" si="5"/>
        <v>TinMalaysia Smelting Corporation (MSC)</v>
      </c>
    </row>
    <row r="10" spans="1:34" s="227" customFormat="1" ht="19.899999999999999" customHeight="1">
      <c r="A10" s="262" t="s">
        <v>773</v>
      </c>
      <c r="B10" s="182" t="s">
        <v>1126</v>
      </c>
      <c r="C10" s="186" t="s">
        <v>1030</v>
      </c>
      <c r="D10" s="230"/>
      <c r="E10" s="182" t="s">
        <v>876</v>
      </c>
      <c r="F10" s="182" t="s">
        <v>773</v>
      </c>
      <c r="G10" s="182" t="s">
        <v>13240</v>
      </c>
      <c r="H10" s="183">
        <v>0</v>
      </c>
      <c r="I10" s="184" t="s">
        <v>1785</v>
      </c>
      <c r="J10" s="184" t="s">
        <v>9115</v>
      </c>
      <c r="K10" s="224"/>
      <c r="L10" s="224"/>
      <c r="M10" s="224"/>
      <c r="N10" s="224"/>
      <c r="O10" s="224"/>
      <c r="P10" s="185"/>
      <c r="Q10" s="225"/>
      <c r="R10" s="182" t="str">
        <f ca="1">IF(ISERROR($V10),"",OFFSET('Smelter Look-up'!$C$4,$V10-4,0)&amp;"")</f>
        <v>Minsur</v>
      </c>
      <c r="S10" s="181" t="str">
        <f t="shared" ca="1" si="3"/>
        <v>PE</v>
      </c>
      <c r="T10" s="181" t="str">
        <f ca="1">IF(B10="","",IF(ISERROR(MATCH($J10,SorP!$B$1:$B$6279,0)),"",INDIRECT("'SorP'!$A$"&amp;MATCH($S10&amp;$J10,SorP!C:C,0))))</f>
        <v>PE-ICA</v>
      </c>
      <c r="U10" s="201"/>
      <c r="V10" s="226">
        <f>IF(C10="",NA(),IF(OR(C10="Smelter not listed",C10="Smelter not yet identified"),MATCH($B10&amp;$D10,'Smelter Look-up'!$J:$J,0),MATCH($B10&amp;$C10,'Smelter Look-up'!$J:$J,0)))</f>
        <v>470</v>
      </c>
      <c r="X10" s="227">
        <f t="shared" si="4"/>
        <v>0</v>
      </c>
      <c r="AB10" s="228" t="str">
        <f t="shared" si="5"/>
        <v>TinMinsur</v>
      </c>
    </row>
    <row r="11" spans="1:34" s="227" customFormat="1" ht="19.899999999999999" customHeight="1">
      <c r="A11" s="262" t="s">
        <v>766</v>
      </c>
      <c r="B11" s="182" t="s">
        <v>1126</v>
      </c>
      <c r="C11" s="186" t="s">
        <v>811</v>
      </c>
      <c r="D11" s="230"/>
      <c r="E11" s="182" t="s">
        <v>878</v>
      </c>
      <c r="F11" s="182" t="s">
        <v>766</v>
      </c>
      <c r="G11" s="182" t="s">
        <v>13240</v>
      </c>
      <c r="H11" s="183">
        <v>0</v>
      </c>
      <c r="I11" s="184" t="s">
        <v>1771</v>
      </c>
      <c r="J11" s="184" t="s">
        <v>9501</v>
      </c>
      <c r="K11" s="224"/>
      <c r="L11" s="224"/>
      <c r="M11" s="224"/>
      <c r="N11" s="224"/>
      <c r="O11" s="224"/>
      <c r="P11" s="185"/>
      <c r="Q11" s="225"/>
      <c r="R11" s="182" t="str">
        <f ca="1">IF(ISERROR($V11),"",OFFSET('Smelter Look-up'!$C$4,$V11-4,0)&amp;"")</f>
        <v>Fenix Metals</v>
      </c>
      <c r="S11" s="181" t="str">
        <f t="shared" ca="1" si="3"/>
        <v>PL</v>
      </c>
      <c r="T11" s="181" t="str">
        <f ca="1">IF(B11="","",IF(ISERROR(MATCH($J11,SorP!$B$1:$B$6279,0)),"",INDIRECT("'SorP'!$A$"&amp;MATCH($S11&amp;$J11,SorP!C:C,0))))</f>
        <v>PL-18</v>
      </c>
      <c r="U11" s="201"/>
      <c r="V11" s="226">
        <f>IF(C11="",NA(),IF(OR(C11="Smelter not listed",C11="Smelter not yet identified"),MATCH($B11&amp;$D11,'Smelter Look-up'!$J:$J,0),MATCH($B11&amp;$C11,'Smelter Look-up'!$J:$J,0)))</f>
        <v>430</v>
      </c>
      <c r="X11" s="227">
        <f t="shared" si="4"/>
        <v>0</v>
      </c>
      <c r="AB11" s="228" t="str">
        <f t="shared" si="5"/>
        <v>TinFenix Metals</v>
      </c>
    </row>
    <row r="12" spans="1:34" s="227" customFormat="1" ht="19.899999999999999" customHeight="1">
      <c r="A12" s="262" t="s">
        <v>784</v>
      </c>
      <c r="B12" s="182" t="s">
        <v>1126</v>
      </c>
      <c r="C12" s="186" t="s">
        <v>1027</v>
      </c>
      <c r="D12" s="230"/>
      <c r="E12" s="182" t="s">
        <v>884</v>
      </c>
      <c r="F12" s="182" t="s">
        <v>784</v>
      </c>
      <c r="G12" s="182" t="s">
        <v>13240</v>
      </c>
      <c r="H12" s="183">
        <v>0</v>
      </c>
      <c r="I12" s="184" t="s">
        <v>1795</v>
      </c>
      <c r="J12" s="184" t="s">
        <v>1796</v>
      </c>
      <c r="K12" s="224"/>
      <c r="L12" s="224"/>
      <c r="M12" s="224"/>
      <c r="N12" s="224"/>
      <c r="O12" s="224"/>
      <c r="P12" s="185"/>
      <c r="Q12" s="225"/>
      <c r="R12" s="182" t="str">
        <f ca="1">IF(ISERROR($V12),"",OFFSET('Smelter Look-up'!$C$4,$V12-4,0)&amp;"")</f>
        <v>Thaisarco</v>
      </c>
      <c r="S12" s="181" t="str">
        <f t="shared" ca="1" si="3"/>
        <v>TH</v>
      </c>
      <c r="T12" s="181" t="str">
        <f ca="1">IF(B12="","",IF(ISERROR(MATCH($J12,SorP!$B$1:$B$6279,0)),"",INDIRECT("'SorP'!$A$"&amp;MATCH($S12&amp;$J12,SorP!C:C,0))))</f>
        <v>TH-83</v>
      </c>
      <c r="U12" s="201"/>
      <c r="V12" s="226">
        <f>IF(C12="",NA(),IF(OR(C12="Smelter not listed",C12="Smelter not yet identified"),MATCH($B12&amp;$D12,'Smelter Look-up'!$J:$J,0),MATCH($B12&amp;$C12,'Smelter Look-up'!$J:$J,0)))</f>
        <v>526</v>
      </c>
      <c r="X12" s="227">
        <f t="shared" si="4"/>
        <v>0</v>
      </c>
      <c r="AB12" s="228" t="str">
        <f t="shared" si="5"/>
        <v>TinThaisarco</v>
      </c>
    </row>
    <row r="13" spans="1:34" s="227" customFormat="1" ht="19.899999999999999" customHeight="1">
      <c r="A13" s="262" t="s">
        <v>781</v>
      </c>
      <c r="B13" s="182" t="s">
        <v>1126</v>
      </c>
      <c r="C13" s="186" t="s">
        <v>13801</v>
      </c>
      <c r="D13" s="230"/>
      <c r="E13" s="182" t="s">
        <v>1101</v>
      </c>
      <c r="F13" s="182" t="s">
        <v>781</v>
      </c>
      <c r="G13" s="182" t="s">
        <v>13240</v>
      </c>
      <c r="H13" s="183">
        <v>0</v>
      </c>
      <c r="I13" s="184" t="s">
        <v>1794</v>
      </c>
      <c r="J13" s="184" t="s">
        <v>12852</v>
      </c>
      <c r="K13" s="224"/>
      <c r="L13" s="224"/>
      <c r="M13" s="224"/>
      <c r="N13" s="224"/>
      <c r="O13" s="224"/>
      <c r="P13" s="185"/>
      <c r="Q13" s="225"/>
      <c r="R13" s="182" t="str">
        <f ca="1">IF(ISERROR($V13),"",OFFSET('Smelter Look-up'!$C$4,$V13-4,0)&amp;"")</f>
        <v>PT Timah Tbk Mentok</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514</v>
      </c>
      <c r="X13" s="227">
        <f t="shared" si="4"/>
        <v>0</v>
      </c>
      <c r="AB13" s="228" t="str">
        <f t="shared" si="5"/>
        <v>TinPT Timah Tbk Mentok</v>
      </c>
    </row>
    <row r="14" spans="1:34" s="227" customFormat="1" ht="19.899999999999999" customHeight="1">
      <c r="A14" s="262" t="s">
        <v>15092</v>
      </c>
      <c r="B14" s="182" t="s">
        <v>1126</v>
      </c>
      <c r="C14" s="186" t="s">
        <v>15091</v>
      </c>
      <c r="D14" s="230"/>
      <c r="E14" s="182" t="s">
        <v>1098</v>
      </c>
      <c r="F14" s="182" t="s">
        <v>15092</v>
      </c>
      <c r="G14" s="182" t="s">
        <v>13240</v>
      </c>
      <c r="H14" s="183">
        <v>0</v>
      </c>
      <c r="I14" s="184" t="s">
        <v>3651</v>
      </c>
      <c r="J14" s="184" t="s">
        <v>3651</v>
      </c>
      <c r="K14" s="224"/>
      <c r="L14" s="224"/>
      <c r="M14" s="224"/>
      <c r="N14" s="224"/>
      <c r="O14" s="224"/>
      <c r="P14" s="185"/>
      <c r="Q14" s="225"/>
      <c r="R14" s="182" t="str">
        <f ca="1">IF(ISERROR($V14),"",OFFSET('Smelter Look-up'!$C$4,$V14-4,0)&amp;"")</f>
        <v>CRM Synergies</v>
      </c>
      <c r="S14" s="181" t="str">
        <f t="shared" ca="1" si="3"/>
        <v>ES</v>
      </c>
      <c r="T14" s="181" t="str">
        <f ca="1">IF(B14="","",IF(ISERROR(MATCH($J14,SorP!$B$1:$B$6279,0)),"",INDIRECT("'SorP'!$A$"&amp;MATCH($S14&amp;$J14,SorP!C:C,0))))</f>
        <v>ES-TO</v>
      </c>
      <c r="U14" s="201"/>
      <c r="V14" s="226">
        <f>IF(C14="",NA(),IF(OR(C14="Smelter not listed",C14="Smelter not yet identified"),MATCH($B14&amp;$D14,'Smelter Look-up'!$J:$J,0),MATCH($B14&amp;$C14,'Smelter Look-up'!$J:$J,0)))</f>
        <v>411</v>
      </c>
      <c r="X14" s="227">
        <f t="shared" si="4"/>
        <v>0</v>
      </c>
      <c r="AB14" s="228" t="str">
        <f t="shared" si="5"/>
        <v>TinCRM Synergies</v>
      </c>
    </row>
    <row r="15" spans="1:34" s="227" customFormat="1" ht="19.899999999999999" customHeight="1">
      <c r="A15" s="262" t="s">
        <v>14029</v>
      </c>
      <c r="B15" s="182" t="s">
        <v>1126</v>
      </c>
      <c r="C15" s="186" t="s">
        <v>12936</v>
      </c>
      <c r="D15" s="230"/>
      <c r="E15" s="182" t="s">
        <v>1101</v>
      </c>
      <c r="F15" s="182" t="s">
        <v>14029</v>
      </c>
      <c r="G15" s="182" t="s">
        <v>13240</v>
      </c>
      <c r="H15" s="183">
        <v>0</v>
      </c>
      <c r="I15" s="184" t="s">
        <v>15147</v>
      </c>
      <c r="J15" s="184" t="s">
        <v>12852</v>
      </c>
      <c r="K15" s="224"/>
      <c r="L15" s="224"/>
      <c r="M15" s="224"/>
      <c r="N15" s="224"/>
      <c r="O15" s="224"/>
      <c r="P15" s="185"/>
      <c r="Q15" s="225"/>
      <c r="R15" s="182" t="str">
        <f ca="1">IF(ISERROR($V15),"",OFFSET('Smelter Look-up'!$C$4,$V15-4,0)&amp;"")</f>
        <v>PT Bangka Serumpun</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492</v>
      </c>
      <c r="X15" s="227">
        <f t="shared" si="4"/>
        <v>0</v>
      </c>
      <c r="AB15" s="228" t="str">
        <f t="shared" si="5"/>
        <v>TinPT Bangka Serumpun</v>
      </c>
    </row>
    <row r="16" spans="1:34" s="227" customFormat="1" ht="19.899999999999999" customHeight="1">
      <c r="A16" s="262" t="s">
        <v>777</v>
      </c>
      <c r="B16" s="182" t="s">
        <v>1126</v>
      </c>
      <c r="C16" s="186" t="s">
        <v>13803</v>
      </c>
      <c r="D16" s="230"/>
      <c r="E16" s="182" t="s">
        <v>2430</v>
      </c>
      <c r="F16" s="182" t="s">
        <v>777</v>
      </c>
      <c r="G16" s="182" t="s">
        <v>13240</v>
      </c>
      <c r="H16" s="183">
        <v>0</v>
      </c>
      <c r="I16" s="184" t="s">
        <v>1769</v>
      </c>
      <c r="J16" s="184" t="s">
        <v>1769</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IF(C16="",NA(),IF(OR(C16="Smelter not listed",C16="Smelter not yet identified"),MATCH($B16&amp;$D16,'Smelter Look-up'!$J:$J,0),MATCH($B16&amp;$C16,'Smelter Look-up'!$J:$J,0)))</f>
        <v>482</v>
      </c>
      <c r="X16" s="227">
        <f t="shared" si="4"/>
        <v>0</v>
      </c>
      <c r="AB16" s="228" t="str">
        <f t="shared" si="5"/>
        <v>TinOperaciones Metalurgicas S.A.</v>
      </c>
    </row>
    <row r="17" spans="1:28" s="227" customFormat="1" ht="19.899999999999999" customHeight="1">
      <c r="A17" s="262" t="s">
        <v>772</v>
      </c>
      <c r="B17" s="182" t="s">
        <v>1126</v>
      </c>
      <c r="C17" s="186" t="s">
        <v>1784</v>
      </c>
      <c r="D17" s="230"/>
      <c r="E17" s="182" t="s">
        <v>1092</v>
      </c>
      <c r="F17" s="182" t="s">
        <v>772</v>
      </c>
      <c r="G17" s="182" t="s">
        <v>13240</v>
      </c>
      <c r="H17" s="183">
        <v>0</v>
      </c>
      <c r="I17" s="184" t="s">
        <v>1783</v>
      </c>
      <c r="J17" s="184" t="s">
        <v>1674</v>
      </c>
      <c r="K17" s="224"/>
      <c r="L17" s="224"/>
      <c r="M17" s="224"/>
      <c r="N17" s="224"/>
      <c r="O17" s="224"/>
      <c r="P17" s="185"/>
      <c r="Q17" s="225"/>
      <c r="R17" s="182" t="str">
        <f ca="1">IF(ISERROR($V17),"",OFFSET('Smelter Look-up'!$C$4,$V17-4,0)&amp;"")</f>
        <v>Mineracao Taboca S.A.</v>
      </c>
      <c r="S17" s="181" t="str">
        <f t="shared" ca="1" si="3"/>
        <v>BR</v>
      </c>
      <c r="T17" s="181" t="str">
        <f ca="1">IF(B17="","",IF(ISERROR(MATCH($J17,SorP!$B$1:$B$6279,0)),"",INDIRECT("'SorP'!$A$"&amp;MATCH($S17&amp;$J17,SorP!C:C,0))))</f>
        <v>BR-SP</v>
      </c>
      <c r="U17" s="201"/>
      <c r="V17" s="226">
        <f>IF(C17="",NA(),IF(OR(C17="Smelter not listed",C17="Smelter not yet identified"),MATCH($B17&amp;$D17,'Smelter Look-up'!$J:$J,0),MATCH($B17&amp;$C17,'Smelter Look-up'!$J:$J,0)))</f>
        <v>531</v>
      </c>
      <c r="X17" s="227">
        <f t="shared" si="4"/>
        <v>0</v>
      </c>
      <c r="AB17" s="228" t="str">
        <f t="shared" si="5"/>
        <v>TinToboca/ Paranapenema</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865A35-0E06-49C4-81E0-E173E060D4D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R8" sqref="R8"/>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Erik Türkis-Renouf Metalle OHG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Juliane Türkis-Renouf</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service@metall-spezialist.de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06781-219651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Juliane Türkis-Renouf</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service@metall-spezialist.de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Juliane Türkis</cp:lastModifiedBy>
  <cp:lastPrinted>2015-04-21T20:47:43Z</cp:lastPrinted>
  <dcterms:created xsi:type="dcterms:W3CDTF">2010-06-21T21:00:23Z</dcterms:created>
  <dcterms:modified xsi:type="dcterms:W3CDTF">2023-06-13T12:36:02Z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